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805" yWindow="90" windowWidth="13890" windowHeight="13410" tabRatio="959" activeTab="1"/>
  </bookViews>
  <sheets>
    <sheet name="READ ME FIRST" sheetId="37" r:id="rId1"/>
    <sheet name="ACBL" sheetId="24" r:id="rId2"/>
    <sheet name="CIS" sheetId="8" r:id="rId3"/>
    <sheet name="ECFI" sheetId="25" r:id="rId4"/>
    <sheet name="MGMK" sheetId="26" r:id="rId5"/>
    <sheet name="COUNED" sheetId="28" r:id="rId6"/>
    <sheet name="EED" sheetId="15" r:id="rId7"/>
    <sheet name="HES" sheetId="19" r:id="rId8"/>
    <sheet name="HPER" sheetId="21" r:id="rId9"/>
    <sheet name="SECED" sheetId="30" r:id="rId10"/>
    <sheet name="AR" sheetId="5" r:id="rId11"/>
    <sheet name="BI" sheetId="6" r:id="rId12"/>
    <sheet name="CH" sheetId="7" r:id="rId13"/>
    <sheet name="CJ" sheetId="27" r:id="rId14"/>
    <sheet name="COM" sheetId="29" r:id="rId15"/>
    <sheet name="EIC" sheetId="38" r:id="rId16"/>
    <sheet name="EN" sheetId="9" r:id="rId17"/>
    <sheet name="FL" sheetId="12" r:id="rId18"/>
    <sheet name="GE" sheetId="13" r:id="rId19"/>
    <sheet name="HI" sheetId="14" r:id="rId20"/>
    <sheet name="MA" sheetId="16" r:id="rId21"/>
    <sheet name="MU" sheetId="17" r:id="rId22"/>
    <sheet name="PH" sheetId="20" r:id="rId23"/>
    <sheet name="Psych" sheetId="22" r:id="rId24"/>
    <sheet name="SO" sheetId="31" r:id="rId25"/>
    <sheet name="SW" sheetId="33" r:id="rId26"/>
    <sheet name="IDS" sheetId="41" r:id="rId27"/>
    <sheet name="NU" sheetId="18" r:id="rId28"/>
    <sheet name="NEC" sheetId="36" r:id="rId29"/>
    <sheet name="Overall Summary" sheetId="34" r:id="rId30"/>
  </sheets>
  <definedNames>
    <definedName name="_xlnm.Print_Area" localSheetId="1">ACBL!$A$1:$G$95</definedName>
    <definedName name="_xlnm.Print_Area" localSheetId="10">AR!$A$1:$G$95</definedName>
    <definedName name="_xlnm.Print_Area" localSheetId="11">BI!$A$1:$G$95</definedName>
    <definedName name="_xlnm.Print_Area" localSheetId="12">CH!$A$1:$G$95</definedName>
    <definedName name="_xlnm.Print_Area" localSheetId="2">CIS!$A$1:$G$95</definedName>
    <definedName name="_xlnm.Print_Area" localSheetId="13">CJ!$A$1:$G$96</definedName>
    <definedName name="_xlnm.Print_Area" localSheetId="14">COM!$A$1:$G$95</definedName>
    <definedName name="_xlnm.Print_Area" localSheetId="5">COUNED!$A$1:$G$95</definedName>
    <definedName name="_xlnm.Print_Area" localSheetId="3">ECFI!$A$1:$G$95</definedName>
    <definedName name="_xlnm.Print_Area" localSheetId="6">EED!$A$1:$G$95</definedName>
    <definedName name="_xlnm.Print_Area" localSheetId="15">EIC!$A$1:$G$95</definedName>
    <definedName name="_xlnm.Print_Area" localSheetId="16">EN!$A$1:$G$95</definedName>
    <definedName name="_xlnm.Print_Area" localSheetId="17">FL!$A$1:$G$95</definedName>
    <definedName name="_xlnm.Print_Area" localSheetId="18">GE!$A$1:$G$95</definedName>
    <definedName name="_xlnm.Print_Area" localSheetId="7">HES!$A$1:$G$95</definedName>
    <definedName name="_xlnm.Print_Area" localSheetId="19">HI!$A$1:$G$95</definedName>
    <definedName name="_xlnm.Print_Area" localSheetId="8">HPER!$A$1:$G$95</definedName>
    <definedName name="_xlnm.Print_Area" localSheetId="26">IDS!$A$1:$G$95</definedName>
    <definedName name="_xlnm.Print_Area" localSheetId="20">MA!$A$1:$G$95</definedName>
    <definedName name="_xlnm.Print_Area" localSheetId="4">MGMK!$A$1:$G$95</definedName>
    <definedName name="_xlnm.Print_Area" localSheetId="21">MU!$A$1:$G$97</definedName>
    <definedName name="_xlnm.Print_Area" localSheetId="28">NEC!$A$1:$G$96</definedName>
    <definedName name="_xlnm.Print_Area" localSheetId="27">NU!$A$1:$G$96</definedName>
    <definedName name="_xlnm.Print_Area" localSheetId="29">'Overall Summary'!$A$1:$G$95</definedName>
    <definedName name="_xlnm.Print_Area" localSheetId="22">PH!$A$1:$G$96</definedName>
    <definedName name="_xlnm.Print_Area" localSheetId="23">Psych!$A$1:$G$96</definedName>
    <definedName name="_xlnm.Print_Area" localSheetId="0">'READ ME FIRST'!$A$1:$A$81</definedName>
    <definedName name="_xlnm.Print_Area" localSheetId="9">SECED!$A$1:$G$96</definedName>
    <definedName name="_xlnm.Print_Area" localSheetId="24">SO!$A$1:$G$96</definedName>
    <definedName name="_xlnm.Print_Area" localSheetId="25">SW!$A$1:$G$100</definedName>
    <definedName name="_xlnm.Print_Titles" localSheetId="1">ACBL!$6:$8</definedName>
    <definedName name="_xlnm.Print_Titles" localSheetId="10">AR!$6:$8</definedName>
    <definedName name="_xlnm.Print_Titles" localSheetId="11">BI!$6:$8</definedName>
    <definedName name="_xlnm.Print_Titles" localSheetId="12">CH!$6:$8</definedName>
    <definedName name="_xlnm.Print_Titles" localSheetId="2">CIS!$6:$8</definedName>
    <definedName name="_xlnm.Print_Titles" localSheetId="13">CJ!$6:$8</definedName>
    <definedName name="_xlnm.Print_Titles" localSheetId="14">COM!$6:$8</definedName>
    <definedName name="_xlnm.Print_Titles" localSheetId="5">COUNED!$6:$8</definedName>
    <definedName name="_xlnm.Print_Titles" localSheetId="3">ECFI!$6:$8</definedName>
    <definedName name="_xlnm.Print_Titles" localSheetId="6">EED!$6:$8</definedName>
    <definedName name="_xlnm.Print_Titles" localSheetId="15">EIC!$6:$8</definedName>
    <definedName name="_xlnm.Print_Titles" localSheetId="16">EN!$6:$8</definedName>
    <definedName name="_xlnm.Print_Titles" localSheetId="17">FL!$6:$8</definedName>
    <definedName name="_xlnm.Print_Titles" localSheetId="18">GE!$6:$8</definedName>
    <definedName name="_xlnm.Print_Titles" localSheetId="7">HES!$6:$8</definedName>
    <definedName name="_xlnm.Print_Titles" localSheetId="19">HI!$6:$8</definedName>
    <definedName name="_xlnm.Print_Titles" localSheetId="8">HPER!$6:$8</definedName>
    <definedName name="_xlnm.Print_Titles" localSheetId="26">IDS!$6:$8</definedName>
    <definedName name="_xlnm.Print_Titles" localSheetId="20">MA!$6:$8</definedName>
    <definedName name="_xlnm.Print_Titles" localSheetId="4">MGMK!$6:$8</definedName>
    <definedName name="_xlnm.Print_Titles" localSheetId="21">MU!$6:$8</definedName>
    <definedName name="_xlnm.Print_Titles" localSheetId="28">NEC!$6:$8</definedName>
    <definedName name="_xlnm.Print_Titles" localSheetId="27">NU!$6:$8</definedName>
    <definedName name="_xlnm.Print_Titles" localSheetId="29">'Overall Summary'!$6:$6</definedName>
    <definedName name="_xlnm.Print_Titles" localSheetId="22">PH!$6:$8</definedName>
    <definedName name="_xlnm.Print_Titles" localSheetId="23">Psych!$6:$8</definedName>
    <definedName name="_xlnm.Print_Titles" localSheetId="9">SECED!$6:$8</definedName>
    <definedName name="_xlnm.Print_Titles" localSheetId="24">SO!$6:$8</definedName>
    <definedName name="_xlnm.Print_Titles" localSheetId="25">SW!$6:$6</definedName>
  </definedNames>
  <calcPr calcId="152511"/>
</workbook>
</file>

<file path=xl/calcChain.xml><?xml version="1.0" encoding="utf-8"?>
<calcChain xmlns="http://schemas.openxmlformats.org/spreadsheetml/2006/main">
  <c r="E95" i="17" l="1"/>
  <c r="D95" i="17"/>
  <c r="C95" i="17"/>
  <c r="B95" i="17"/>
  <c r="F95" i="17"/>
  <c r="F90" i="34" l="1"/>
  <c r="C90" i="34"/>
  <c r="B90" i="34"/>
  <c r="B95" i="41"/>
  <c r="C95" i="41"/>
  <c r="F71" i="34" l="1"/>
  <c r="E71" i="34"/>
  <c r="D71" i="34"/>
  <c r="C71" i="34"/>
  <c r="B71" i="34"/>
  <c r="F70" i="34"/>
  <c r="E70" i="34"/>
  <c r="D70" i="34"/>
  <c r="C70" i="34"/>
  <c r="B70" i="34"/>
  <c r="G63" i="34"/>
  <c r="G62" i="34"/>
  <c r="F55" i="34"/>
  <c r="D55" i="34"/>
  <c r="C55" i="34"/>
  <c r="B55" i="34"/>
  <c r="F54" i="34"/>
  <c r="C54" i="34"/>
  <c r="B54" i="34"/>
  <c r="F36" i="34"/>
  <c r="D36" i="34"/>
  <c r="C36" i="34"/>
  <c r="B36" i="34"/>
  <c r="F32" i="34"/>
  <c r="E32" i="34"/>
  <c r="C32" i="34"/>
  <c r="B32" i="34"/>
  <c r="F23" i="34"/>
  <c r="E23" i="34"/>
  <c r="D23" i="34"/>
  <c r="C23" i="34"/>
  <c r="B23" i="34"/>
  <c r="F22" i="34"/>
  <c r="E22" i="34"/>
  <c r="D22" i="34"/>
  <c r="C22" i="34"/>
  <c r="B22" i="34"/>
  <c r="D14" i="34"/>
  <c r="C14" i="34"/>
  <c r="B14" i="34"/>
  <c r="D13" i="34"/>
  <c r="C13" i="34"/>
  <c r="B13" i="34"/>
  <c r="E90" i="36"/>
  <c r="D90" i="36"/>
  <c r="F73" i="36"/>
  <c r="E73" i="36"/>
  <c r="D73" i="36"/>
  <c r="C73" i="36"/>
  <c r="B73" i="36"/>
  <c r="F72" i="36"/>
  <c r="E72" i="36"/>
  <c r="D72" i="36"/>
  <c r="C72" i="36"/>
  <c r="B72" i="36"/>
  <c r="G71" i="36"/>
  <c r="G70" i="36"/>
  <c r="G63" i="36"/>
  <c r="G62" i="36"/>
  <c r="F56" i="36"/>
  <c r="E56" i="36"/>
  <c r="D56" i="36"/>
  <c r="C56" i="36"/>
  <c r="C95" i="36" s="1"/>
  <c r="B56" i="36"/>
  <c r="B95" i="36" s="1"/>
  <c r="G55" i="36"/>
  <c r="G54" i="36"/>
  <c r="G36" i="36"/>
  <c r="D32" i="36"/>
  <c r="F25" i="36"/>
  <c r="E25" i="36"/>
  <c r="D25" i="36"/>
  <c r="C25" i="36"/>
  <c r="B25" i="36"/>
  <c r="F24" i="36"/>
  <c r="F46" i="36" s="1"/>
  <c r="E24" i="36"/>
  <c r="E46" i="36" s="1"/>
  <c r="D24" i="36"/>
  <c r="D46" i="36" s="1"/>
  <c r="C24" i="36"/>
  <c r="C46" i="36" s="1"/>
  <c r="B24" i="36"/>
  <c r="B46" i="36" s="1"/>
  <c r="G23" i="36"/>
  <c r="G22" i="36"/>
  <c r="E16" i="36"/>
  <c r="D16" i="36"/>
  <c r="C16" i="36"/>
  <c r="B16" i="36"/>
  <c r="E15" i="36"/>
  <c r="E42" i="36" s="1"/>
  <c r="D15" i="36"/>
  <c r="C15" i="36"/>
  <c r="B15" i="36"/>
  <c r="B42" i="36" s="1"/>
  <c r="F14" i="36"/>
  <c r="G14" i="36" s="1"/>
  <c r="F13" i="36"/>
  <c r="E90" i="18"/>
  <c r="D90" i="18"/>
  <c r="F73" i="18"/>
  <c r="E73" i="18"/>
  <c r="D73" i="18"/>
  <c r="C73" i="18"/>
  <c r="B73" i="18"/>
  <c r="F72" i="18"/>
  <c r="E72" i="18"/>
  <c r="D72" i="18"/>
  <c r="C72" i="18"/>
  <c r="B72" i="18"/>
  <c r="G71" i="18"/>
  <c r="G70" i="18"/>
  <c r="G62" i="18"/>
  <c r="F56" i="18"/>
  <c r="F95" i="18" s="1"/>
  <c r="E56" i="18"/>
  <c r="D56" i="18"/>
  <c r="C56" i="18"/>
  <c r="C95" i="18" s="1"/>
  <c r="B56" i="18"/>
  <c r="B95" i="18" s="1"/>
  <c r="G54" i="18"/>
  <c r="G32" i="18"/>
  <c r="E16" i="18"/>
  <c r="D16" i="18"/>
  <c r="C16" i="18"/>
  <c r="B16" i="18"/>
  <c r="E15" i="18"/>
  <c r="E42" i="18" s="1"/>
  <c r="D15" i="18"/>
  <c r="D42" i="18" s="1"/>
  <c r="C15" i="18"/>
  <c r="C42" i="18" s="1"/>
  <c r="B15" i="18"/>
  <c r="B42" i="18" s="1"/>
  <c r="F14" i="18"/>
  <c r="F13" i="18"/>
  <c r="G13" i="18" s="1"/>
  <c r="G90" i="41"/>
  <c r="D73" i="41"/>
  <c r="C73" i="41"/>
  <c r="B73" i="41"/>
  <c r="G72" i="41"/>
  <c r="G71" i="41"/>
  <c r="G70" i="41"/>
  <c r="G63" i="41"/>
  <c r="G62" i="41"/>
  <c r="F56" i="41"/>
  <c r="F95" i="41" s="1"/>
  <c r="E56" i="41"/>
  <c r="E95" i="41" s="1"/>
  <c r="D56" i="41"/>
  <c r="D95" i="41" s="1"/>
  <c r="G55" i="41"/>
  <c r="G54" i="41"/>
  <c r="G36" i="41"/>
  <c r="G32" i="41"/>
  <c r="F25" i="41"/>
  <c r="E25" i="41"/>
  <c r="F24" i="41"/>
  <c r="E24" i="41"/>
  <c r="G24" i="41" s="1"/>
  <c r="G23" i="41"/>
  <c r="G22" i="41"/>
  <c r="F16" i="41"/>
  <c r="E16" i="41"/>
  <c r="D16" i="41"/>
  <c r="F15" i="41"/>
  <c r="F42" i="41" s="1"/>
  <c r="E15" i="41"/>
  <c r="E42" i="41" s="1"/>
  <c r="D15" i="41"/>
  <c r="G14" i="41"/>
  <c r="G13" i="41"/>
  <c r="G90" i="33"/>
  <c r="F73" i="33"/>
  <c r="E73" i="33"/>
  <c r="D73" i="33"/>
  <c r="C73" i="33"/>
  <c r="B73" i="33"/>
  <c r="F72" i="33"/>
  <c r="E72" i="33"/>
  <c r="D72" i="33"/>
  <c r="C72" i="33"/>
  <c r="B72" i="33"/>
  <c r="G71" i="33"/>
  <c r="G70" i="33"/>
  <c r="G62" i="33"/>
  <c r="F56" i="33"/>
  <c r="F95" i="33" s="1"/>
  <c r="E56" i="33"/>
  <c r="E95" i="33" s="1"/>
  <c r="D56" i="33"/>
  <c r="D95" i="33" s="1"/>
  <c r="C56" i="33"/>
  <c r="C95" i="33" s="1"/>
  <c r="B56" i="33"/>
  <c r="B95" i="33" s="1"/>
  <c r="G54" i="33"/>
  <c r="G32" i="33"/>
  <c r="F16" i="33"/>
  <c r="E16" i="33"/>
  <c r="D16" i="33"/>
  <c r="C16" i="33"/>
  <c r="B16" i="33"/>
  <c r="F15" i="33"/>
  <c r="F42" i="33" s="1"/>
  <c r="E15" i="33"/>
  <c r="E42" i="33" s="1"/>
  <c r="D15" i="33"/>
  <c r="D42" i="33" s="1"/>
  <c r="C15" i="33"/>
  <c r="C42" i="33" s="1"/>
  <c r="B15" i="33"/>
  <c r="B42" i="33" s="1"/>
  <c r="G14" i="33"/>
  <c r="G13" i="33"/>
  <c r="D90" i="31"/>
  <c r="F73" i="31"/>
  <c r="E73" i="31"/>
  <c r="D73" i="31"/>
  <c r="C73" i="31"/>
  <c r="B73" i="31"/>
  <c r="F72" i="31"/>
  <c r="E72" i="31"/>
  <c r="D72" i="31"/>
  <c r="C72" i="31"/>
  <c r="B72" i="31"/>
  <c r="G71" i="31"/>
  <c r="G70" i="31"/>
  <c r="G62" i="31"/>
  <c r="F56" i="31"/>
  <c r="F95" i="31" s="1"/>
  <c r="D56" i="31"/>
  <c r="C56" i="31"/>
  <c r="C95" i="31" s="1"/>
  <c r="B56" i="31"/>
  <c r="B95" i="31" s="1"/>
  <c r="E54" i="31"/>
  <c r="C42" i="31"/>
  <c r="G32" i="31"/>
  <c r="F16" i="31"/>
  <c r="E16" i="31"/>
  <c r="D16" i="31"/>
  <c r="C16" i="31"/>
  <c r="B16" i="31"/>
  <c r="F15" i="31"/>
  <c r="F42" i="31" s="1"/>
  <c r="E15" i="31"/>
  <c r="E42" i="31" s="1"/>
  <c r="D15" i="31"/>
  <c r="D42" i="31" s="1"/>
  <c r="C15" i="31"/>
  <c r="B15" i="31"/>
  <c r="B42" i="31" s="1"/>
  <c r="G14" i="31"/>
  <c r="G13" i="31"/>
  <c r="G90" i="22"/>
  <c r="F73" i="22"/>
  <c r="E73" i="22"/>
  <c r="D73" i="22"/>
  <c r="C73" i="22"/>
  <c r="B73" i="22"/>
  <c r="F72" i="22"/>
  <c r="E72" i="22"/>
  <c r="D72" i="22"/>
  <c r="C72" i="22"/>
  <c r="B72" i="22"/>
  <c r="G71" i="22"/>
  <c r="G70" i="22"/>
  <c r="G62" i="22"/>
  <c r="F56" i="22"/>
  <c r="F95" i="22" s="1"/>
  <c r="E56" i="22"/>
  <c r="E95" i="22" s="1"/>
  <c r="D56" i="22"/>
  <c r="C56" i="22"/>
  <c r="C95" i="22" s="1"/>
  <c r="B56" i="22"/>
  <c r="B95" i="22" s="1"/>
  <c r="G54" i="22"/>
  <c r="G32" i="22"/>
  <c r="F16" i="22"/>
  <c r="E16" i="22"/>
  <c r="D16" i="22"/>
  <c r="D80" i="22" s="1"/>
  <c r="C16" i="22"/>
  <c r="B16" i="22"/>
  <c r="F15" i="22"/>
  <c r="F42" i="22" s="1"/>
  <c r="E15" i="22"/>
  <c r="E42" i="22" s="1"/>
  <c r="D15" i="22"/>
  <c r="D42" i="22" s="1"/>
  <c r="C15" i="22"/>
  <c r="C42" i="22" s="1"/>
  <c r="B15" i="22"/>
  <c r="B42" i="22" s="1"/>
  <c r="G14" i="22"/>
  <c r="G13" i="22"/>
  <c r="E90" i="20"/>
  <c r="D90" i="20"/>
  <c r="F73" i="20"/>
  <c r="E73" i="20"/>
  <c r="D73" i="20"/>
  <c r="C73" i="20"/>
  <c r="B73" i="20"/>
  <c r="F72" i="20"/>
  <c r="E72" i="20"/>
  <c r="D72" i="20"/>
  <c r="C72" i="20"/>
  <c r="B72" i="20"/>
  <c r="G71" i="20"/>
  <c r="G70" i="20"/>
  <c r="G63" i="20"/>
  <c r="G62" i="20"/>
  <c r="F56" i="20"/>
  <c r="F95" i="20" s="1"/>
  <c r="E56" i="20"/>
  <c r="D56" i="20"/>
  <c r="C56" i="20"/>
  <c r="C95" i="20" s="1"/>
  <c r="B56" i="20"/>
  <c r="B95" i="20" s="1"/>
  <c r="G55" i="20"/>
  <c r="G54" i="20"/>
  <c r="G32" i="20"/>
  <c r="F16" i="20"/>
  <c r="F80" i="20" s="1"/>
  <c r="E16" i="20"/>
  <c r="E80" i="20" s="1"/>
  <c r="D16" i="20"/>
  <c r="C16" i="20"/>
  <c r="B16" i="20"/>
  <c r="F15" i="20"/>
  <c r="F42" i="20" s="1"/>
  <c r="E15" i="20"/>
  <c r="E42" i="20" s="1"/>
  <c r="D15" i="20"/>
  <c r="D42" i="20" s="1"/>
  <c r="C15" i="20"/>
  <c r="C42" i="20" s="1"/>
  <c r="B15" i="20"/>
  <c r="B42" i="20" s="1"/>
  <c r="G14" i="20"/>
  <c r="G13" i="20"/>
  <c r="E90" i="17"/>
  <c r="D90" i="17"/>
  <c r="F73" i="17"/>
  <c r="E73" i="17"/>
  <c r="D73" i="17"/>
  <c r="C73" i="17"/>
  <c r="B73" i="17"/>
  <c r="F72" i="17"/>
  <c r="E72" i="17"/>
  <c r="D72" i="17"/>
  <c r="C72" i="17"/>
  <c r="B72" i="17"/>
  <c r="G71" i="17"/>
  <c r="G70" i="17"/>
  <c r="G63" i="17"/>
  <c r="G62" i="17"/>
  <c r="F56" i="17"/>
  <c r="E56" i="17"/>
  <c r="E85" i="17" s="1"/>
  <c r="D56" i="17"/>
  <c r="C56" i="17"/>
  <c r="B56" i="17"/>
  <c r="G55" i="17"/>
  <c r="G54" i="17"/>
  <c r="G46" i="17"/>
  <c r="G32" i="17"/>
  <c r="F16" i="17"/>
  <c r="E16" i="17"/>
  <c r="E80" i="17" s="1"/>
  <c r="D16" i="17"/>
  <c r="C16" i="17"/>
  <c r="B16" i="17"/>
  <c r="F15" i="17"/>
  <c r="F42" i="17" s="1"/>
  <c r="E15" i="17"/>
  <c r="E42" i="17" s="1"/>
  <c r="D15" i="17"/>
  <c r="D42" i="17" s="1"/>
  <c r="C15" i="17"/>
  <c r="C42" i="17" s="1"/>
  <c r="B15" i="17"/>
  <c r="G14" i="17"/>
  <c r="G13" i="17"/>
  <c r="G90" i="16"/>
  <c r="F73" i="16"/>
  <c r="E73" i="16"/>
  <c r="D73" i="16"/>
  <c r="C73" i="16"/>
  <c r="B73" i="16"/>
  <c r="F72" i="16"/>
  <c r="E72" i="16"/>
  <c r="D72" i="16"/>
  <c r="C72" i="16"/>
  <c r="B72" i="16"/>
  <c r="G71" i="16"/>
  <c r="G70" i="16"/>
  <c r="G63" i="16"/>
  <c r="G62" i="16"/>
  <c r="F56" i="16"/>
  <c r="F95" i="16" s="1"/>
  <c r="C56" i="16"/>
  <c r="C95" i="16" s="1"/>
  <c r="B56" i="16"/>
  <c r="B95" i="16" s="1"/>
  <c r="E55" i="16"/>
  <c r="E54" i="16"/>
  <c r="D54" i="16"/>
  <c r="D56" i="16" s="1"/>
  <c r="D95" i="16" s="1"/>
  <c r="B42" i="16"/>
  <c r="G32" i="16"/>
  <c r="F16" i="16"/>
  <c r="E16" i="16"/>
  <c r="D16" i="16"/>
  <c r="C16" i="16"/>
  <c r="C80" i="16" s="1"/>
  <c r="B16" i="16"/>
  <c r="F15" i="16"/>
  <c r="F42" i="16" s="1"/>
  <c r="E15" i="16"/>
  <c r="E42" i="16" s="1"/>
  <c r="D15" i="16"/>
  <c r="D42" i="16" s="1"/>
  <c r="C15" i="16"/>
  <c r="C42" i="16" s="1"/>
  <c r="B15" i="16"/>
  <c r="G14" i="16"/>
  <c r="G13" i="16"/>
  <c r="D90" i="14"/>
  <c r="F73" i="14"/>
  <c r="E73" i="14"/>
  <c r="D73" i="14"/>
  <c r="C73" i="14"/>
  <c r="B73" i="14"/>
  <c r="F72" i="14"/>
  <c r="E72" i="14"/>
  <c r="D72" i="14"/>
  <c r="C72" i="14"/>
  <c r="B72" i="14"/>
  <c r="G71" i="14"/>
  <c r="G70" i="14"/>
  <c r="G63" i="14"/>
  <c r="G62" i="14"/>
  <c r="F56" i="14"/>
  <c r="F95" i="14" s="1"/>
  <c r="E56" i="14"/>
  <c r="E95" i="14" s="1"/>
  <c r="D56" i="14"/>
  <c r="C56" i="14"/>
  <c r="C95" i="14" s="1"/>
  <c r="B56" i="14"/>
  <c r="B95" i="14" s="1"/>
  <c r="G55" i="14"/>
  <c r="G54" i="14"/>
  <c r="G36" i="14"/>
  <c r="G32" i="14"/>
  <c r="F25" i="14"/>
  <c r="E25" i="14"/>
  <c r="D25" i="14"/>
  <c r="C25" i="14"/>
  <c r="B25" i="14"/>
  <c r="F24" i="14"/>
  <c r="E24" i="14"/>
  <c r="D24" i="14"/>
  <c r="C24" i="14"/>
  <c r="B24" i="14"/>
  <c r="G23" i="14"/>
  <c r="G22" i="14"/>
  <c r="F16" i="14"/>
  <c r="F80" i="14" s="1"/>
  <c r="D16" i="14"/>
  <c r="C16" i="14"/>
  <c r="B16" i="14"/>
  <c r="F15" i="14"/>
  <c r="F42" i="14" s="1"/>
  <c r="D15" i="14"/>
  <c r="D42" i="14" s="1"/>
  <c r="C15" i="14"/>
  <c r="C42" i="14" s="1"/>
  <c r="B15" i="14"/>
  <c r="B42" i="14" s="1"/>
  <c r="E14" i="14"/>
  <c r="G14" i="14" s="1"/>
  <c r="E13" i="14"/>
  <c r="G13" i="14" s="1"/>
  <c r="E90" i="13"/>
  <c r="E95" i="13" s="1"/>
  <c r="D90" i="13"/>
  <c r="F73" i="13"/>
  <c r="E73" i="13"/>
  <c r="D73" i="13"/>
  <c r="C73" i="13"/>
  <c r="B73" i="13"/>
  <c r="F72" i="13"/>
  <c r="E72" i="13"/>
  <c r="D72" i="13"/>
  <c r="C72" i="13"/>
  <c r="B72" i="13"/>
  <c r="G71" i="13"/>
  <c r="G70" i="13"/>
  <c r="G63" i="13"/>
  <c r="G62" i="13"/>
  <c r="F56" i="13"/>
  <c r="F95" i="13" s="1"/>
  <c r="E56" i="13"/>
  <c r="D56" i="13"/>
  <c r="C56" i="13"/>
  <c r="C95" i="13" s="1"/>
  <c r="B56" i="13"/>
  <c r="B95" i="13" s="1"/>
  <c r="G55" i="13"/>
  <c r="G54" i="13"/>
  <c r="G36" i="13"/>
  <c r="G32" i="13"/>
  <c r="F25" i="13"/>
  <c r="E25" i="13"/>
  <c r="D25" i="13"/>
  <c r="G25" i="13" s="1"/>
  <c r="F24" i="13"/>
  <c r="F46" i="13" s="1"/>
  <c r="E24" i="13"/>
  <c r="E46" i="13" s="1"/>
  <c r="D24" i="13"/>
  <c r="G24" i="13" s="1"/>
  <c r="G23" i="13"/>
  <c r="G22" i="13"/>
  <c r="F16" i="13"/>
  <c r="E16" i="13"/>
  <c r="D16" i="13"/>
  <c r="D80" i="13" s="1"/>
  <c r="C16" i="13"/>
  <c r="B16" i="13"/>
  <c r="B80" i="13" s="1"/>
  <c r="F15" i="13"/>
  <c r="F42" i="13" s="1"/>
  <c r="E15" i="13"/>
  <c r="E42" i="13" s="1"/>
  <c r="D15" i="13"/>
  <c r="D42" i="13" s="1"/>
  <c r="C15" i="13"/>
  <c r="C42" i="13" s="1"/>
  <c r="B15" i="13"/>
  <c r="B42" i="13" s="1"/>
  <c r="G14" i="13"/>
  <c r="G13" i="13"/>
  <c r="E90" i="12"/>
  <c r="D90" i="12"/>
  <c r="F73" i="12"/>
  <c r="E73" i="12"/>
  <c r="D73" i="12"/>
  <c r="C73" i="12"/>
  <c r="B73" i="12"/>
  <c r="F72" i="12"/>
  <c r="E72" i="12"/>
  <c r="D72" i="12"/>
  <c r="C72" i="12"/>
  <c r="B72" i="12"/>
  <c r="G71" i="12"/>
  <c r="G70" i="12"/>
  <c r="G62" i="12"/>
  <c r="F56" i="12"/>
  <c r="F95" i="12" s="1"/>
  <c r="E56" i="12"/>
  <c r="D56" i="12"/>
  <c r="C56" i="12"/>
  <c r="C95" i="12" s="1"/>
  <c r="B56" i="12"/>
  <c r="B95" i="12" s="1"/>
  <c r="G54" i="12"/>
  <c r="G32" i="12"/>
  <c r="F16" i="12"/>
  <c r="F80" i="12" s="1"/>
  <c r="E16" i="12"/>
  <c r="D16" i="12"/>
  <c r="D80" i="12" s="1"/>
  <c r="C16" i="12"/>
  <c r="B16" i="12"/>
  <c r="B80" i="12" s="1"/>
  <c r="F15" i="12"/>
  <c r="F42" i="12" s="1"/>
  <c r="E15" i="12"/>
  <c r="E42" i="12" s="1"/>
  <c r="D15" i="12"/>
  <c r="D42" i="12" s="1"/>
  <c r="C15" i="12"/>
  <c r="C42" i="12" s="1"/>
  <c r="B15" i="12"/>
  <c r="B42" i="12" s="1"/>
  <c r="G14" i="12"/>
  <c r="G13" i="12"/>
  <c r="E90" i="9"/>
  <c r="F73" i="9"/>
  <c r="E73" i="9"/>
  <c r="D73" i="9"/>
  <c r="C73" i="9"/>
  <c r="B73" i="9"/>
  <c r="F72" i="9"/>
  <c r="E72" i="9"/>
  <c r="D72" i="9"/>
  <c r="C72" i="9"/>
  <c r="B72" i="9"/>
  <c r="G71" i="9"/>
  <c r="G70" i="9"/>
  <c r="G63" i="9"/>
  <c r="G62" i="9"/>
  <c r="F56" i="9"/>
  <c r="F95" i="9" s="1"/>
  <c r="E56" i="9"/>
  <c r="D56" i="9"/>
  <c r="D95" i="9" s="1"/>
  <c r="C56" i="9"/>
  <c r="C95" i="9" s="1"/>
  <c r="B56" i="9"/>
  <c r="B95" i="9" s="1"/>
  <c r="G55" i="9"/>
  <c r="G54" i="9"/>
  <c r="G36" i="9"/>
  <c r="G32" i="9"/>
  <c r="F25" i="9"/>
  <c r="E25" i="9"/>
  <c r="D25" i="9"/>
  <c r="C25" i="9"/>
  <c r="B25" i="9"/>
  <c r="F24" i="9"/>
  <c r="F46" i="9" s="1"/>
  <c r="E24" i="9"/>
  <c r="E46" i="9" s="1"/>
  <c r="D24" i="9"/>
  <c r="D46" i="9" s="1"/>
  <c r="C24" i="9"/>
  <c r="C46" i="9" s="1"/>
  <c r="B24" i="9"/>
  <c r="G23" i="9"/>
  <c r="G22" i="9"/>
  <c r="F16" i="9"/>
  <c r="E16" i="9"/>
  <c r="D16" i="9"/>
  <c r="D80" i="9" s="1"/>
  <c r="C16" i="9"/>
  <c r="B16" i="9"/>
  <c r="F15" i="9"/>
  <c r="F42" i="9" s="1"/>
  <c r="E15" i="9"/>
  <c r="E42" i="9" s="1"/>
  <c r="D15" i="9"/>
  <c r="D42" i="9" s="1"/>
  <c r="C15" i="9"/>
  <c r="C42" i="9" s="1"/>
  <c r="B15" i="9"/>
  <c r="B42" i="9" s="1"/>
  <c r="G14" i="9"/>
  <c r="G13" i="9"/>
  <c r="E90" i="38"/>
  <c r="D90" i="38"/>
  <c r="F73" i="38"/>
  <c r="E73" i="38"/>
  <c r="E85" i="38" s="1"/>
  <c r="D73" i="38"/>
  <c r="C73" i="38"/>
  <c r="C80" i="38" s="1"/>
  <c r="B73" i="38"/>
  <c r="F72" i="38"/>
  <c r="E72" i="38"/>
  <c r="D72" i="38"/>
  <c r="C72" i="38"/>
  <c r="B72" i="38"/>
  <c r="G71" i="38"/>
  <c r="G70" i="38"/>
  <c r="G62" i="38"/>
  <c r="F56" i="38"/>
  <c r="F95" i="38" s="1"/>
  <c r="E56" i="38"/>
  <c r="D56" i="38"/>
  <c r="C56" i="38"/>
  <c r="C95" i="38" s="1"/>
  <c r="B56" i="38"/>
  <c r="B95" i="38" s="1"/>
  <c r="G54" i="38"/>
  <c r="G32" i="38"/>
  <c r="F16" i="38"/>
  <c r="F80" i="38" s="1"/>
  <c r="E16" i="38"/>
  <c r="D16" i="38"/>
  <c r="F15" i="38"/>
  <c r="F42" i="38" s="1"/>
  <c r="E15" i="38"/>
  <c r="E42" i="38" s="1"/>
  <c r="D15" i="38"/>
  <c r="D42" i="38" s="1"/>
  <c r="G14" i="38"/>
  <c r="G13" i="38"/>
  <c r="E90" i="29"/>
  <c r="E95" i="29" s="1"/>
  <c r="D90" i="29"/>
  <c r="F73" i="29"/>
  <c r="E73" i="29"/>
  <c r="D73" i="29"/>
  <c r="C73" i="29"/>
  <c r="B73" i="29"/>
  <c r="F72" i="29"/>
  <c r="E72" i="29"/>
  <c r="D72" i="29"/>
  <c r="C72" i="29"/>
  <c r="B72" i="29"/>
  <c r="G71" i="29"/>
  <c r="G70" i="29"/>
  <c r="G63" i="29"/>
  <c r="G62" i="29"/>
  <c r="F56" i="29"/>
  <c r="F95" i="29" s="1"/>
  <c r="E56" i="29"/>
  <c r="D56" i="29"/>
  <c r="C56" i="29"/>
  <c r="C95" i="29" s="1"/>
  <c r="B56" i="29"/>
  <c r="B95" i="29" s="1"/>
  <c r="G55" i="29"/>
  <c r="G54" i="29"/>
  <c r="G46" i="29"/>
  <c r="G32" i="29"/>
  <c r="F16" i="29"/>
  <c r="D16" i="29"/>
  <c r="D80" i="29" s="1"/>
  <c r="C16" i="29"/>
  <c r="B16" i="29"/>
  <c r="F15" i="29"/>
  <c r="F42" i="29" s="1"/>
  <c r="D15" i="29"/>
  <c r="D42" i="29" s="1"/>
  <c r="C15" i="29"/>
  <c r="C42" i="29" s="1"/>
  <c r="B15" i="29"/>
  <c r="E14" i="29"/>
  <c r="G14" i="29" s="1"/>
  <c r="E13" i="29"/>
  <c r="E90" i="27"/>
  <c r="F73" i="27"/>
  <c r="F85" i="27" s="1"/>
  <c r="E73" i="27"/>
  <c r="D73" i="27"/>
  <c r="C73" i="27"/>
  <c r="B73" i="27"/>
  <c r="F72" i="27"/>
  <c r="E72" i="27"/>
  <c r="D72" i="27"/>
  <c r="C72" i="27"/>
  <c r="B72" i="27"/>
  <c r="G71" i="27"/>
  <c r="G70" i="27"/>
  <c r="G63" i="27"/>
  <c r="G62" i="27"/>
  <c r="F56" i="27"/>
  <c r="F95" i="27" s="1"/>
  <c r="E56" i="27"/>
  <c r="D56" i="27"/>
  <c r="D95" i="27" s="1"/>
  <c r="C56" i="27"/>
  <c r="C95" i="27" s="1"/>
  <c r="B56" i="27"/>
  <c r="B95" i="27" s="1"/>
  <c r="G55" i="27"/>
  <c r="G54" i="27"/>
  <c r="G36" i="27"/>
  <c r="G32" i="27"/>
  <c r="F25" i="27"/>
  <c r="E25" i="27"/>
  <c r="D25" i="27"/>
  <c r="C25" i="27"/>
  <c r="B25" i="27"/>
  <c r="F24" i="27"/>
  <c r="F46" i="27" s="1"/>
  <c r="E24" i="27"/>
  <c r="E46" i="27" s="1"/>
  <c r="D24" i="27"/>
  <c r="D46" i="27" s="1"/>
  <c r="C24" i="27"/>
  <c r="C46" i="27" s="1"/>
  <c r="B24" i="27"/>
  <c r="G23" i="27"/>
  <c r="G22" i="27"/>
  <c r="F16" i="27"/>
  <c r="E16" i="27"/>
  <c r="D16" i="27"/>
  <c r="D80" i="27" s="1"/>
  <c r="C16" i="27"/>
  <c r="B16" i="27"/>
  <c r="F15" i="27"/>
  <c r="F42" i="27" s="1"/>
  <c r="E15" i="27"/>
  <c r="E42" i="27" s="1"/>
  <c r="D15" i="27"/>
  <c r="D42" i="27" s="1"/>
  <c r="C15" i="27"/>
  <c r="C42" i="27" s="1"/>
  <c r="B15" i="27"/>
  <c r="G14" i="27"/>
  <c r="G13" i="27"/>
  <c r="E90" i="7"/>
  <c r="D90" i="7"/>
  <c r="F73" i="7"/>
  <c r="E73" i="7"/>
  <c r="D73" i="7"/>
  <c r="C73" i="7"/>
  <c r="B73" i="7"/>
  <c r="F72" i="7"/>
  <c r="E72" i="7"/>
  <c r="D72" i="7"/>
  <c r="C72" i="7"/>
  <c r="B72" i="7"/>
  <c r="G71" i="7"/>
  <c r="G70" i="7"/>
  <c r="G62" i="7"/>
  <c r="F56" i="7"/>
  <c r="E56" i="7"/>
  <c r="D56" i="7"/>
  <c r="C56" i="7"/>
  <c r="C95" i="7" s="1"/>
  <c r="B56" i="7"/>
  <c r="B95" i="7" s="1"/>
  <c r="G55" i="7"/>
  <c r="G54" i="7"/>
  <c r="G46" i="7"/>
  <c r="G32" i="7"/>
  <c r="F16" i="7"/>
  <c r="E16" i="7"/>
  <c r="D16" i="7"/>
  <c r="C16" i="7"/>
  <c r="B16" i="7"/>
  <c r="F15" i="7"/>
  <c r="F42" i="7" s="1"/>
  <c r="E15" i="7"/>
  <c r="E42" i="7" s="1"/>
  <c r="D15" i="7"/>
  <c r="D42" i="7" s="1"/>
  <c r="C15" i="7"/>
  <c r="C42" i="7" s="1"/>
  <c r="B15" i="7"/>
  <c r="B42" i="7" s="1"/>
  <c r="G14" i="7"/>
  <c r="G13" i="7"/>
  <c r="E90" i="6"/>
  <c r="D90" i="6"/>
  <c r="D95" i="6" s="1"/>
  <c r="F73" i="6"/>
  <c r="E73" i="6"/>
  <c r="D73" i="6"/>
  <c r="C73" i="6"/>
  <c r="C85" i="6" s="1"/>
  <c r="B73" i="6"/>
  <c r="F72" i="6"/>
  <c r="E72" i="6"/>
  <c r="D72" i="6"/>
  <c r="C72" i="6"/>
  <c r="B72" i="6"/>
  <c r="G71" i="6"/>
  <c r="G70" i="6"/>
  <c r="G63" i="6"/>
  <c r="G62" i="6"/>
  <c r="F56" i="6"/>
  <c r="E56" i="6"/>
  <c r="D56" i="6"/>
  <c r="C56" i="6"/>
  <c r="C95" i="6" s="1"/>
  <c r="B56" i="6"/>
  <c r="G55" i="6"/>
  <c r="G54" i="6"/>
  <c r="G32" i="6"/>
  <c r="F16" i="6"/>
  <c r="F80" i="6" s="1"/>
  <c r="E16" i="6"/>
  <c r="D16" i="6"/>
  <c r="C16" i="6"/>
  <c r="B16" i="6"/>
  <c r="F15" i="6"/>
  <c r="F42" i="6" s="1"/>
  <c r="E15" i="6"/>
  <c r="E42" i="6" s="1"/>
  <c r="D15" i="6"/>
  <c r="D42" i="6" s="1"/>
  <c r="C15" i="6"/>
  <c r="C42" i="6" s="1"/>
  <c r="B15" i="6"/>
  <c r="G14" i="6"/>
  <c r="G13" i="6"/>
  <c r="E90" i="5"/>
  <c r="E95" i="5" s="1"/>
  <c r="D90" i="5"/>
  <c r="D95" i="5" s="1"/>
  <c r="F73" i="5"/>
  <c r="E73" i="5"/>
  <c r="D73" i="5"/>
  <c r="C73" i="5"/>
  <c r="B73" i="5"/>
  <c r="F72" i="5"/>
  <c r="E72" i="5"/>
  <c r="D72" i="5"/>
  <c r="C72" i="5"/>
  <c r="B72" i="5"/>
  <c r="G71" i="5"/>
  <c r="G70" i="5"/>
  <c r="G62" i="5"/>
  <c r="F56" i="5"/>
  <c r="F95" i="5" s="1"/>
  <c r="E56" i="5"/>
  <c r="D56" i="5"/>
  <c r="C56" i="5"/>
  <c r="C95" i="5" s="1"/>
  <c r="B56" i="5"/>
  <c r="B95" i="5" s="1"/>
  <c r="G55" i="5"/>
  <c r="G54" i="5"/>
  <c r="G32" i="5"/>
  <c r="F16" i="5"/>
  <c r="E16" i="5"/>
  <c r="E80" i="5" s="1"/>
  <c r="D16" i="5"/>
  <c r="C16" i="5"/>
  <c r="C80" i="5" s="1"/>
  <c r="B16" i="5"/>
  <c r="F15" i="5"/>
  <c r="F42" i="5" s="1"/>
  <c r="E15" i="5"/>
  <c r="E42" i="5" s="1"/>
  <c r="D15" i="5"/>
  <c r="D42" i="5" s="1"/>
  <c r="C15" i="5"/>
  <c r="C42" i="5" s="1"/>
  <c r="B15" i="5"/>
  <c r="B42" i="5" s="1"/>
  <c r="G14" i="5"/>
  <c r="G13" i="5"/>
  <c r="E90" i="30"/>
  <c r="F73" i="30"/>
  <c r="E73" i="30"/>
  <c r="D73" i="30"/>
  <c r="C73" i="30"/>
  <c r="B73" i="30"/>
  <c r="F72" i="30"/>
  <c r="E72" i="30"/>
  <c r="D72" i="30"/>
  <c r="C72" i="30"/>
  <c r="B72" i="30"/>
  <c r="G71" i="30"/>
  <c r="G70" i="30"/>
  <c r="G63" i="30"/>
  <c r="G62" i="30"/>
  <c r="F56" i="30"/>
  <c r="F95" i="30" s="1"/>
  <c r="E56" i="30"/>
  <c r="D56" i="30"/>
  <c r="D95" i="30" s="1"/>
  <c r="C56" i="30"/>
  <c r="C95" i="30" s="1"/>
  <c r="B56" i="30"/>
  <c r="G55" i="30"/>
  <c r="G54" i="30"/>
  <c r="G36" i="30"/>
  <c r="G32" i="30"/>
  <c r="F25" i="30"/>
  <c r="E25" i="30"/>
  <c r="D25" i="30"/>
  <c r="C25" i="30"/>
  <c r="B25" i="30"/>
  <c r="F24" i="30"/>
  <c r="F46" i="30" s="1"/>
  <c r="E24" i="30"/>
  <c r="E46" i="30" s="1"/>
  <c r="D24" i="30"/>
  <c r="D46" i="30" s="1"/>
  <c r="C24" i="30"/>
  <c r="C46" i="30" s="1"/>
  <c r="B24" i="30"/>
  <c r="B46" i="30" s="1"/>
  <c r="G23" i="30"/>
  <c r="G22" i="30"/>
  <c r="F16" i="30"/>
  <c r="D16" i="30"/>
  <c r="C16" i="30"/>
  <c r="B16" i="30"/>
  <c r="F15" i="30"/>
  <c r="F42" i="30" s="1"/>
  <c r="D15" i="30"/>
  <c r="D42" i="30" s="1"/>
  <c r="C15" i="30"/>
  <c r="C42" i="30" s="1"/>
  <c r="B15" i="30"/>
  <c r="B42" i="30" s="1"/>
  <c r="E14" i="30"/>
  <c r="E15" i="30" s="1"/>
  <c r="E42" i="30" s="1"/>
  <c r="G13" i="30"/>
  <c r="E13" i="30"/>
  <c r="E90" i="21"/>
  <c r="E95" i="21" s="1"/>
  <c r="D90" i="21"/>
  <c r="D95" i="21" s="1"/>
  <c r="F73" i="21"/>
  <c r="E73" i="21"/>
  <c r="E80" i="21" s="1"/>
  <c r="D73" i="21"/>
  <c r="C73" i="21"/>
  <c r="B73" i="21"/>
  <c r="F72" i="21"/>
  <c r="E72" i="21"/>
  <c r="D72" i="21"/>
  <c r="C72" i="21"/>
  <c r="B72" i="21"/>
  <c r="G71" i="21"/>
  <c r="G70" i="21"/>
  <c r="G63" i="21"/>
  <c r="G62" i="21"/>
  <c r="F56" i="21"/>
  <c r="F95" i="21" s="1"/>
  <c r="E56" i="21"/>
  <c r="D56" i="21"/>
  <c r="C56" i="21"/>
  <c r="C95" i="21" s="1"/>
  <c r="B56" i="21"/>
  <c r="B95" i="21" s="1"/>
  <c r="G55" i="21"/>
  <c r="G54" i="21"/>
  <c r="G36" i="21"/>
  <c r="G32" i="21"/>
  <c r="F25" i="21"/>
  <c r="E25" i="21"/>
  <c r="D25" i="21"/>
  <c r="C25" i="21"/>
  <c r="B25" i="21"/>
  <c r="F24" i="21"/>
  <c r="F46" i="21" s="1"/>
  <c r="E24" i="21"/>
  <c r="E46" i="21" s="1"/>
  <c r="D24" i="21"/>
  <c r="D46" i="21" s="1"/>
  <c r="C24" i="21"/>
  <c r="C46" i="21" s="1"/>
  <c r="B24" i="21"/>
  <c r="B46" i="21" s="1"/>
  <c r="G23" i="21"/>
  <c r="G22" i="21"/>
  <c r="F16" i="21"/>
  <c r="F80" i="21" s="1"/>
  <c r="E16" i="21"/>
  <c r="D16" i="21"/>
  <c r="C16" i="21"/>
  <c r="C80" i="21" s="1"/>
  <c r="B16" i="21"/>
  <c r="F15" i="21"/>
  <c r="F42" i="21" s="1"/>
  <c r="E15" i="21"/>
  <c r="E42" i="21" s="1"/>
  <c r="D15" i="21"/>
  <c r="D42" i="21" s="1"/>
  <c r="C15" i="21"/>
  <c r="C42" i="21" s="1"/>
  <c r="B15" i="21"/>
  <c r="G14" i="21"/>
  <c r="G13" i="21"/>
  <c r="E90" i="19"/>
  <c r="D90" i="19"/>
  <c r="F73" i="19"/>
  <c r="E73" i="19"/>
  <c r="D73" i="19"/>
  <c r="C73" i="19"/>
  <c r="B73" i="19"/>
  <c r="F72" i="19"/>
  <c r="E72" i="19"/>
  <c r="D72" i="19"/>
  <c r="C72" i="19"/>
  <c r="B72" i="19"/>
  <c r="G71" i="19"/>
  <c r="G70" i="19"/>
  <c r="G62" i="19"/>
  <c r="F56" i="19"/>
  <c r="E56" i="19"/>
  <c r="D56" i="19"/>
  <c r="C56" i="19"/>
  <c r="C95" i="19" s="1"/>
  <c r="B56" i="19"/>
  <c r="B95" i="19" s="1"/>
  <c r="G54" i="19"/>
  <c r="G32" i="19"/>
  <c r="F16" i="19"/>
  <c r="E16" i="19"/>
  <c r="D16" i="19"/>
  <c r="C16" i="19"/>
  <c r="B16" i="19"/>
  <c r="F15" i="19"/>
  <c r="F42" i="19" s="1"/>
  <c r="E15" i="19"/>
  <c r="E42" i="19" s="1"/>
  <c r="D15" i="19"/>
  <c r="D42" i="19" s="1"/>
  <c r="C15" i="19"/>
  <c r="C42" i="19" s="1"/>
  <c r="B15" i="19"/>
  <c r="G14" i="19"/>
  <c r="G13" i="19"/>
  <c r="E90" i="15"/>
  <c r="D90" i="15"/>
  <c r="D95" i="15" s="1"/>
  <c r="F73" i="15"/>
  <c r="E73" i="15"/>
  <c r="D73" i="15"/>
  <c r="C73" i="15"/>
  <c r="B73" i="15"/>
  <c r="F72" i="15"/>
  <c r="E72" i="15"/>
  <c r="D72" i="15"/>
  <c r="C72" i="15"/>
  <c r="B72" i="15"/>
  <c r="G71" i="15"/>
  <c r="G70" i="15"/>
  <c r="G63" i="15"/>
  <c r="G62" i="15"/>
  <c r="F56" i="15"/>
  <c r="F95" i="15" s="1"/>
  <c r="E56" i="15"/>
  <c r="D56" i="15"/>
  <c r="C56" i="15"/>
  <c r="C95" i="15" s="1"/>
  <c r="B56" i="15"/>
  <c r="B95" i="15" s="1"/>
  <c r="G55" i="15"/>
  <c r="G54" i="15"/>
  <c r="G36" i="15"/>
  <c r="G32" i="15"/>
  <c r="F25" i="15"/>
  <c r="E25" i="15"/>
  <c r="D25" i="15"/>
  <c r="C25" i="15"/>
  <c r="B25" i="15"/>
  <c r="F24" i="15"/>
  <c r="F46" i="15" s="1"/>
  <c r="E24" i="15"/>
  <c r="E46" i="15" s="1"/>
  <c r="D24" i="15"/>
  <c r="D46" i="15" s="1"/>
  <c r="C24" i="15"/>
  <c r="C46" i="15" s="1"/>
  <c r="B24" i="15"/>
  <c r="G23" i="15"/>
  <c r="G22" i="15"/>
  <c r="F16" i="15"/>
  <c r="F80" i="15" s="1"/>
  <c r="E16" i="15"/>
  <c r="E80" i="15" s="1"/>
  <c r="D16" i="15"/>
  <c r="D80" i="15" s="1"/>
  <c r="C16" i="15"/>
  <c r="B16" i="15"/>
  <c r="F15" i="15"/>
  <c r="F42" i="15" s="1"/>
  <c r="E15" i="15"/>
  <c r="E42" i="15" s="1"/>
  <c r="D15" i="15"/>
  <c r="D42" i="15" s="1"/>
  <c r="C15" i="15"/>
  <c r="C42" i="15" s="1"/>
  <c r="B15" i="15"/>
  <c r="B42" i="15" s="1"/>
  <c r="G14" i="15"/>
  <c r="G13" i="15"/>
  <c r="E90" i="28"/>
  <c r="D90" i="28"/>
  <c r="G90" i="28" s="1"/>
  <c r="F73" i="28"/>
  <c r="F85" i="28" s="1"/>
  <c r="E73" i="28"/>
  <c r="D73" i="28"/>
  <c r="C73" i="28"/>
  <c r="B73" i="28"/>
  <c r="F72" i="28"/>
  <c r="E72" i="28"/>
  <c r="D72" i="28"/>
  <c r="C72" i="28"/>
  <c r="B72" i="28"/>
  <c r="G71" i="28"/>
  <c r="G70" i="28"/>
  <c r="G63" i="28"/>
  <c r="F56" i="28"/>
  <c r="F95" i="28" s="1"/>
  <c r="E56" i="28"/>
  <c r="D56" i="28"/>
  <c r="D85" i="28" s="1"/>
  <c r="C56" i="28"/>
  <c r="C95" i="28" s="1"/>
  <c r="B56" i="28"/>
  <c r="B95" i="28" s="1"/>
  <c r="G55" i="28"/>
  <c r="F46" i="28"/>
  <c r="G36" i="28"/>
  <c r="F25" i="28"/>
  <c r="E25" i="28"/>
  <c r="D25" i="28"/>
  <c r="D80" i="28" s="1"/>
  <c r="C25" i="28"/>
  <c r="C80" i="28" s="1"/>
  <c r="B25" i="28"/>
  <c r="F24" i="28"/>
  <c r="E24" i="28"/>
  <c r="E46" i="28" s="1"/>
  <c r="D24" i="28"/>
  <c r="D46" i="28" s="1"/>
  <c r="C24" i="28"/>
  <c r="B24" i="28"/>
  <c r="B46" i="28" s="1"/>
  <c r="G23" i="28"/>
  <c r="G22" i="28"/>
  <c r="G90" i="26"/>
  <c r="F73" i="26"/>
  <c r="E73" i="26"/>
  <c r="D73" i="26"/>
  <c r="C73" i="26"/>
  <c r="B73" i="26"/>
  <c r="F72" i="26"/>
  <c r="E72" i="26"/>
  <c r="D72" i="26"/>
  <c r="C72" i="26"/>
  <c r="B72" i="26"/>
  <c r="G71" i="26"/>
  <c r="G70" i="26"/>
  <c r="G63" i="26"/>
  <c r="G62" i="26"/>
  <c r="F56" i="26"/>
  <c r="F95" i="26" s="1"/>
  <c r="E56" i="26"/>
  <c r="E95" i="26" s="1"/>
  <c r="D56" i="26"/>
  <c r="D95" i="26" s="1"/>
  <c r="C56" i="26"/>
  <c r="C95" i="26" s="1"/>
  <c r="B56" i="26"/>
  <c r="B95" i="26" s="1"/>
  <c r="G55" i="26"/>
  <c r="G54" i="26"/>
  <c r="E36" i="26"/>
  <c r="G32" i="26"/>
  <c r="F25" i="26"/>
  <c r="E25" i="26"/>
  <c r="D25" i="26"/>
  <c r="C25" i="26"/>
  <c r="B25" i="26"/>
  <c r="F24" i="26"/>
  <c r="F46" i="26" s="1"/>
  <c r="E24" i="26"/>
  <c r="D24" i="26"/>
  <c r="D46" i="26" s="1"/>
  <c r="C24" i="26"/>
  <c r="C46" i="26" s="1"/>
  <c r="B24" i="26"/>
  <c r="B46" i="26" s="1"/>
  <c r="G23" i="26"/>
  <c r="G22" i="26"/>
  <c r="F16" i="26"/>
  <c r="D16" i="26"/>
  <c r="C16" i="26"/>
  <c r="B16" i="26"/>
  <c r="F15" i="26"/>
  <c r="F42" i="26" s="1"/>
  <c r="D15" i="26"/>
  <c r="D42" i="26" s="1"/>
  <c r="C15" i="26"/>
  <c r="C42" i="26" s="1"/>
  <c r="B15" i="26"/>
  <c r="E14" i="26"/>
  <c r="G14" i="26" s="1"/>
  <c r="E13" i="26"/>
  <c r="G90" i="25"/>
  <c r="F73" i="25"/>
  <c r="E73" i="25"/>
  <c r="D73" i="25"/>
  <c r="C73" i="25"/>
  <c r="B73" i="25"/>
  <c r="F72" i="25"/>
  <c r="E72" i="25"/>
  <c r="D72" i="25"/>
  <c r="C72" i="25"/>
  <c r="B72" i="25"/>
  <c r="G71" i="25"/>
  <c r="G70" i="25"/>
  <c r="G63" i="25"/>
  <c r="G62" i="25"/>
  <c r="F56" i="25"/>
  <c r="F95" i="25" s="1"/>
  <c r="E56" i="25"/>
  <c r="D56" i="25"/>
  <c r="D95" i="25" s="1"/>
  <c r="C56" i="25"/>
  <c r="C95" i="25" s="1"/>
  <c r="B56" i="25"/>
  <c r="B95" i="25" s="1"/>
  <c r="G55" i="25"/>
  <c r="G54" i="25"/>
  <c r="G36" i="25"/>
  <c r="G32" i="25"/>
  <c r="F25" i="25"/>
  <c r="E25" i="25"/>
  <c r="D25" i="25"/>
  <c r="C25" i="25"/>
  <c r="B25" i="25"/>
  <c r="F24" i="25"/>
  <c r="F46" i="25" s="1"/>
  <c r="E24" i="25"/>
  <c r="E46" i="25" s="1"/>
  <c r="D24" i="25"/>
  <c r="D46" i="25" s="1"/>
  <c r="C24" i="25"/>
  <c r="B24" i="25"/>
  <c r="B46" i="25" s="1"/>
  <c r="G23" i="25"/>
  <c r="G22" i="25"/>
  <c r="F16" i="25"/>
  <c r="F80" i="25" s="1"/>
  <c r="D16" i="25"/>
  <c r="C16" i="25"/>
  <c r="B16" i="25"/>
  <c r="F15" i="25"/>
  <c r="F42" i="25" s="1"/>
  <c r="D15" i="25"/>
  <c r="D42" i="25" s="1"/>
  <c r="C15" i="25"/>
  <c r="C42" i="25" s="1"/>
  <c r="B15" i="25"/>
  <c r="B42" i="25" s="1"/>
  <c r="E14" i="25"/>
  <c r="E13" i="25"/>
  <c r="G90" i="8"/>
  <c r="F73" i="8"/>
  <c r="F85" i="8" s="1"/>
  <c r="E73" i="8"/>
  <c r="D73" i="8"/>
  <c r="C73" i="8"/>
  <c r="B73" i="8"/>
  <c r="B85" i="8" s="1"/>
  <c r="F72" i="8"/>
  <c r="E72" i="8"/>
  <c r="D72" i="8"/>
  <c r="C72" i="8"/>
  <c r="G72" i="8" s="1"/>
  <c r="B72" i="8"/>
  <c r="G71" i="8"/>
  <c r="G70" i="8"/>
  <c r="G63" i="8"/>
  <c r="G62" i="8"/>
  <c r="F56" i="8"/>
  <c r="F95" i="8" s="1"/>
  <c r="D56" i="8"/>
  <c r="C56" i="8"/>
  <c r="C95" i="8" s="1"/>
  <c r="B56" i="8"/>
  <c r="B95" i="8" s="1"/>
  <c r="E55" i="8"/>
  <c r="E54" i="8"/>
  <c r="G54" i="8" s="1"/>
  <c r="G36" i="8"/>
  <c r="G32" i="8"/>
  <c r="F25" i="8"/>
  <c r="E25" i="8"/>
  <c r="D25" i="8"/>
  <c r="C25" i="8"/>
  <c r="B25" i="8"/>
  <c r="F24" i="8"/>
  <c r="F46" i="8" s="1"/>
  <c r="E24" i="8"/>
  <c r="E46" i="8" s="1"/>
  <c r="D24" i="8"/>
  <c r="D46" i="8" s="1"/>
  <c r="C24" i="8"/>
  <c r="C46" i="8" s="1"/>
  <c r="B24" i="8"/>
  <c r="B46" i="8" s="1"/>
  <c r="G23" i="8"/>
  <c r="G22" i="8"/>
  <c r="F16" i="8"/>
  <c r="E16" i="8"/>
  <c r="D16" i="8"/>
  <c r="D80" i="8" s="1"/>
  <c r="C16" i="8"/>
  <c r="B16" i="8"/>
  <c r="F15" i="8"/>
  <c r="F42" i="8" s="1"/>
  <c r="E15" i="8"/>
  <c r="E42" i="8" s="1"/>
  <c r="D15" i="8"/>
  <c r="D42" i="8" s="1"/>
  <c r="C15" i="8"/>
  <c r="C42" i="8" s="1"/>
  <c r="B15" i="8"/>
  <c r="B42" i="8" s="1"/>
  <c r="G14" i="8"/>
  <c r="G13" i="8"/>
  <c r="G90" i="24"/>
  <c r="F73" i="24"/>
  <c r="E73" i="24"/>
  <c r="D73" i="24"/>
  <c r="C73" i="24"/>
  <c r="B73" i="24"/>
  <c r="F72" i="24"/>
  <c r="E72" i="24"/>
  <c r="D72" i="24"/>
  <c r="C72" i="24"/>
  <c r="B72" i="24"/>
  <c r="G71" i="24"/>
  <c r="G70" i="24"/>
  <c r="G63" i="24"/>
  <c r="G62" i="24"/>
  <c r="F56" i="24"/>
  <c r="F95" i="24" s="1"/>
  <c r="E56" i="24"/>
  <c r="E95" i="24" s="1"/>
  <c r="D56" i="24"/>
  <c r="D95" i="24" s="1"/>
  <c r="C56" i="24"/>
  <c r="C95" i="24" s="1"/>
  <c r="B56" i="24"/>
  <c r="B95" i="24" s="1"/>
  <c r="G55" i="24"/>
  <c r="G54" i="24"/>
  <c r="G36" i="24"/>
  <c r="G32" i="24"/>
  <c r="F25" i="24"/>
  <c r="E25" i="24"/>
  <c r="D25" i="24"/>
  <c r="C25" i="24"/>
  <c r="B25" i="24"/>
  <c r="F24" i="24"/>
  <c r="E24" i="24"/>
  <c r="D24" i="24"/>
  <c r="C24" i="24"/>
  <c r="C46" i="24" s="1"/>
  <c r="B24" i="24"/>
  <c r="B46" i="24" s="1"/>
  <c r="G23" i="24"/>
  <c r="G22" i="24"/>
  <c r="F16" i="24"/>
  <c r="E16" i="24"/>
  <c r="D16" i="24"/>
  <c r="D80" i="24" s="1"/>
  <c r="C16" i="24"/>
  <c r="B16" i="24"/>
  <c r="F15" i="24"/>
  <c r="E15" i="24"/>
  <c r="E42" i="24" s="1"/>
  <c r="D15" i="24"/>
  <c r="D42" i="24" s="1"/>
  <c r="C15" i="24"/>
  <c r="C42" i="24" s="1"/>
  <c r="B15" i="24"/>
  <c r="G14" i="24"/>
  <c r="G13" i="24"/>
  <c r="F85" i="26" l="1"/>
  <c r="E80" i="28"/>
  <c r="E95" i="28"/>
  <c r="E90" i="34"/>
  <c r="D95" i="19"/>
  <c r="F85" i="7"/>
  <c r="F95" i="7"/>
  <c r="D95" i="38"/>
  <c r="D95" i="12"/>
  <c r="E80" i="13"/>
  <c r="D95" i="13"/>
  <c r="D95" i="14"/>
  <c r="D85" i="22"/>
  <c r="D95" i="22"/>
  <c r="D95" i="18"/>
  <c r="G25" i="36"/>
  <c r="F85" i="36"/>
  <c r="F95" i="36"/>
  <c r="D85" i="36"/>
  <c r="E95" i="36"/>
  <c r="G90" i="30"/>
  <c r="E95" i="30"/>
  <c r="E85" i="25"/>
  <c r="E95" i="25"/>
  <c r="C85" i="25"/>
  <c r="D85" i="26"/>
  <c r="E95" i="19"/>
  <c r="C85" i="21"/>
  <c r="D95" i="29"/>
  <c r="G90" i="38"/>
  <c r="E95" i="38"/>
  <c r="E95" i="12"/>
  <c r="D95" i="20"/>
  <c r="E95" i="18"/>
  <c r="B85" i="6"/>
  <c r="B95" i="6"/>
  <c r="F85" i="6"/>
  <c r="F95" i="6"/>
  <c r="E95" i="6"/>
  <c r="G90" i="7"/>
  <c r="D95" i="7"/>
  <c r="G90" i="9"/>
  <c r="E95" i="9"/>
  <c r="G46" i="13"/>
  <c r="E95" i="20"/>
  <c r="D95" i="31"/>
  <c r="F85" i="19"/>
  <c r="F95" i="19"/>
  <c r="D85" i="8"/>
  <c r="D95" i="8"/>
  <c r="D90" i="34"/>
  <c r="D95" i="28"/>
  <c r="E95" i="15"/>
  <c r="B85" i="30"/>
  <c r="B95" i="30"/>
  <c r="F85" i="5"/>
  <c r="E95" i="7"/>
  <c r="G90" i="27"/>
  <c r="E95" i="27"/>
  <c r="G90" i="29"/>
  <c r="E85" i="13"/>
  <c r="G73" i="13"/>
  <c r="B80" i="22"/>
  <c r="D95" i="36"/>
  <c r="C85" i="5"/>
  <c r="G24" i="9"/>
  <c r="C80" i="17"/>
  <c r="F85" i="24"/>
  <c r="G42" i="8"/>
  <c r="E55" i="34"/>
  <c r="C85" i="19"/>
  <c r="D80" i="21"/>
  <c r="C85" i="30"/>
  <c r="E80" i="27"/>
  <c r="C85" i="27"/>
  <c r="F80" i="29"/>
  <c r="E85" i="29"/>
  <c r="G16" i="38"/>
  <c r="G72" i="12"/>
  <c r="G90" i="12"/>
  <c r="G72" i="14"/>
  <c r="F80" i="16"/>
  <c r="D80" i="17"/>
  <c r="G90" i="17"/>
  <c r="D80" i="20"/>
  <c r="E80" i="22"/>
  <c r="D80" i="33"/>
  <c r="D80" i="18"/>
  <c r="E80" i="19"/>
  <c r="E85" i="30"/>
  <c r="D80" i="25"/>
  <c r="D80" i="7"/>
  <c r="E85" i="7"/>
  <c r="D85" i="12"/>
  <c r="D80" i="14"/>
  <c r="C80" i="18"/>
  <c r="F80" i="24"/>
  <c r="G46" i="8"/>
  <c r="G24" i="25"/>
  <c r="G25" i="25"/>
  <c r="B80" i="28"/>
  <c r="F80" i="28"/>
  <c r="F85" i="15"/>
  <c r="D80" i="30"/>
  <c r="F80" i="27"/>
  <c r="B80" i="29"/>
  <c r="G72" i="9"/>
  <c r="F85" i="9"/>
  <c r="E15" i="14"/>
  <c r="E42" i="14" s="1"/>
  <c r="E85" i="14"/>
  <c r="G73" i="17"/>
  <c r="E85" i="20"/>
  <c r="C85" i="20"/>
  <c r="G42" i="33"/>
  <c r="E36" i="34"/>
  <c r="G36" i="34" s="1"/>
  <c r="G36" i="26"/>
  <c r="G24" i="28"/>
  <c r="C46" i="28"/>
  <c r="G46" i="28" s="1"/>
  <c r="B85" i="12"/>
  <c r="F85" i="12"/>
  <c r="E85" i="33"/>
  <c r="B85" i="36"/>
  <c r="G55" i="8"/>
  <c r="E56" i="8"/>
  <c r="E14" i="34"/>
  <c r="C46" i="25"/>
  <c r="G46" i="25" s="1"/>
  <c r="E85" i="19"/>
  <c r="G14" i="30"/>
  <c r="G73" i="9"/>
  <c r="G42" i="16"/>
  <c r="G42" i="22"/>
  <c r="C80" i="8"/>
  <c r="B85" i="15"/>
  <c r="G56" i="21"/>
  <c r="G72" i="21"/>
  <c r="E16" i="30"/>
  <c r="E80" i="30" s="1"/>
  <c r="F85" i="30"/>
  <c r="C80" i="6"/>
  <c r="E80" i="7"/>
  <c r="D85" i="27"/>
  <c r="G42" i="38"/>
  <c r="D80" i="38"/>
  <c r="B85" i="9"/>
  <c r="D85" i="14"/>
  <c r="D85" i="17"/>
  <c r="G15" i="22"/>
  <c r="C73" i="34"/>
  <c r="E85" i="28"/>
  <c r="G90" i="15"/>
  <c r="G46" i="30"/>
  <c r="C80" i="30"/>
  <c r="F80" i="7"/>
  <c r="G73" i="29"/>
  <c r="G15" i="38"/>
  <c r="G15" i="9"/>
  <c r="F80" i="9"/>
  <c r="C85" i="9"/>
  <c r="E85" i="12"/>
  <c r="D85" i="13"/>
  <c r="G25" i="14"/>
  <c r="G73" i="14"/>
  <c r="B80" i="14"/>
  <c r="F80" i="22"/>
  <c r="G42" i="31"/>
  <c r="G46" i="36"/>
  <c r="G32" i="36"/>
  <c r="D32" i="34"/>
  <c r="G32" i="34" s="1"/>
  <c r="F85" i="18"/>
  <c r="E24" i="34"/>
  <c r="E72" i="34"/>
  <c r="E54" i="34"/>
  <c r="C85" i="8"/>
  <c r="C80" i="25"/>
  <c r="G56" i="25"/>
  <c r="G72" i="25"/>
  <c r="D80" i="26"/>
  <c r="C80" i="15"/>
  <c r="C85" i="15"/>
  <c r="C80" i="19"/>
  <c r="G72" i="19"/>
  <c r="G90" i="21"/>
  <c r="D80" i="5"/>
  <c r="G90" i="5"/>
  <c r="E80" i="6"/>
  <c r="G56" i="29"/>
  <c r="D85" i="29"/>
  <c r="C85" i="38"/>
  <c r="G72" i="38"/>
  <c r="F85" i="38"/>
  <c r="C80" i="9"/>
  <c r="B85" i="13"/>
  <c r="G85" i="13" s="1"/>
  <c r="F85" i="13"/>
  <c r="C85" i="13"/>
  <c r="G95" i="13"/>
  <c r="E16" i="14"/>
  <c r="G16" i="14" s="1"/>
  <c r="C80" i="14"/>
  <c r="E56" i="16"/>
  <c r="F85" i="16"/>
  <c r="C85" i="17"/>
  <c r="B85" i="20"/>
  <c r="F85" i="20"/>
  <c r="E85" i="22"/>
  <c r="F80" i="31"/>
  <c r="C85" i="33"/>
  <c r="G73" i="33"/>
  <c r="F85" i="33"/>
  <c r="G73" i="41"/>
  <c r="D42" i="36"/>
  <c r="G16" i="33"/>
  <c r="B15" i="34"/>
  <c r="G95" i="25"/>
  <c r="F80" i="26"/>
  <c r="E85" i="26"/>
  <c r="C85" i="26"/>
  <c r="C85" i="28"/>
  <c r="G72" i="28"/>
  <c r="D85" i="15"/>
  <c r="G72" i="15"/>
  <c r="D80" i="19"/>
  <c r="D85" i="19"/>
  <c r="E85" i="21"/>
  <c r="G73" i="30"/>
  <c r="G73" i="5"/>
  <c r="G16" i="6"/>
  <c r="D85" i="6"/>
  <c r="G72" i="6"/>
  <c r="E80" i="12"/>
  <c r="G73" i="12"/>
  <c r="F80" i="13"/>
  <c r="G72" i="13"/>
  <c r="G24" i="14"/>
  <c r="B80" i="16"/>
  <c r="B85" i="16"/>
  <c r="G72" i="16"/>
  <c r="G56" i="20"/>
  <c r="G72" i="20"/>
  <c r="C80" i="22"/>
  <c r="G72" i="22"/>
  <c r="C80" i="31"/>
  <c r="G72" i="31"/>
  <c r="C80" i="33"/>
  <c r="G16" i="41"/>
  <c r="G25" i="41"/>
  <c r="E80" i="36"/>
  <c r="B80" i="36"/>
  <c r="E85" i="36"/>
  <c r="G85" i="36" s="1"/>
  <c r="G73" i="36"/>
  <c r="C85" i="36"/>
  <c r="G70" i="34"/>
  <c r="C56" i="34"/>
  <c r="C95" i="34" s="1"/>
  <c r="G56" i="24"/>
  <c r="G73" i="24"/>
  <c r="C85" i="24"/>
  <c r="E16" i="26"/>
  <c r="G13" i="26"/>
  <c r="G24" i="26"/>
  <c r="G73" i="26"/>
  <c r="G15" i="15"/>
  <c r="B46" i="15"/>
  <c r="G46" i="15" s="1"/>
  <c r="G24" i="15"/>
  <c r="G95" i="15"/>
  <c r="G46" i="21"/>
  <c r="G95" i="21"/>
  <c r="G25" i="30"/>
  <c r="G56" i="30"/>
  <c r="D85" i="7"/>
  <c r="C85" i="7"/>
  <c r="C80" i="7"/>
  <c r="G73" i="7"/>
  <c r="G73" i="27"/>
  <c r="B42" i="29"/>
  <c r="F85" i="29"/>
  <c r="E85" i="9"/>
  <c r="C85" i="12"/>
  <c r="G95" i="12"/>
  <c r="G56" i="12"/>
  <c r="B80" i="20"/>
  <c r="G16" i="20"/>
  <c r="C85" i="22"/>
  <c r="G56" i="22"/>
  <c r="D85" i="33"/>
  <c r="F16" i="36"/>
  <c r="F80" i="36" s="1"/>
  <c r="F15" i="36"/>
  <c r="F42" i="36" s="1"/>
  <c r="G13" i="36"/>
  <c r="C24" i="34"/>
  <c r="C15" i="34"/>
  <c r="C42" i="34" s="1"/>
  <c r="G15" i="24"/>
  <c r="C25" i="34"/>
  <c r="G25" i="24"/>
  <c r="G16" i="8"/>
  <c r="G24" i="8"/>
  <c r="E85" i="8"/>
  <c r="G85" i="8" s="1"/>
  <c r="G14" i="25"/>
  <c r="E15" i="25"/>
  <c r="E42" i="25" s="1"/>
  <c r="C80" i="26"/>
  <c r="B80" i="26"/>
  <c r="G25" i="26"/>
  <c r="G95" i="26"/>
  <c r="B85" i="26"/>
  <c r="G56" i="26"/>
  <c r="G25" i="28"/>
  <c r="G73" i="28"/>
  <c r="B85" i="28"/>
  <c r="G85" i="28" s="1"/>
  <c r="B80" i="15"/>
  <c r="G80" i="15" s="1"/>
  <c r="G16" i="15"/>
  <c r="G90" i="19"/>
  <c r="G42" i="30"/>
  <c r="G42" i="5"/>
  <c r="E85" i="6"/>
  <c r="G15" i="27"/>
  <c r="B42" i="27"/>
  <c r="G42" i="27" s="1"/>
  <c r="B46" i="27"/>
  <c r="G46" i="27" s="1"/>
  <c r="G24" i="27"/>
  <c r="B85" i="27"/>
  <c r="G56" i="27"/>
  <c r="E16" i="29"/>
  <c r="E80" i="29" s="1"/>
  <c r="G13" i="29"/>
  <c r="E15" i="29"/>
  <c r="E42" i="29" s="1"/>
  <c r="B85" i="29"/>
  <c r="D85" i="38"/>
  <c r="G73" i="38"/>
  <c r="B85" i="38"/>
  <c r="B80" i="38"/>
  <c r="G42" i="13"/>
  <c r="G90" i="31"/>
  <c r="E85" i="18"/>
  <c r="F73" i="34"/>
  <c r="D15" i="34"/>
  <c r="B16" i="34"/>
  <c r="B80" i="24"/>
  <c r="B24" i="34"/>
  <c r="B46" i="34" s="1"/>
  <c r="F24" i="34"/>
  <c r="F46" i="34" s="1"/>
  <c r="D25" i="34"/>
  <c r="E46" i="24"/>
  <c r="E85" i="24"/>
  <c r="C72" i="34"/>
  <c r="G72" i="24"/>
  <c r="E80" i="24"/>
  <c r="G25" i="8"/>
  <c r="G73" i="8"/>
  <c r="E15" i="26"/>
  <c r="E42" i="26" s="1"/>
  <c r="G25" i="15"/>
  <c r="E85" i="15"/>
  <c r="G15" i="21"/>
  <c r="B42" i="21"/>
  <c r="G42" i="21" s="1"/>
  <c r="G15" i="30"/>
  <c r="G72" i="30"/>
  <c r="G15" i="5"/>
  <c r="G72" i="5"/>
  <c r="E85" i="5"/>
  <c r="G73" i="6"/>
  <c r="B80" i="6"/>
  <c r="G42" i="7"/>
  <c r="B80" i="27"/>
  <c r="G16" i="27"/>
  <c r="B80" i="9"/>
  <c r="G16" i="9"/>
  <c r="G56" i="9"/>
  <c r="G15" i="13"/>
  <c r="G16" i="16"/>
  <c r="G95" i="20"/>
  <c r="G90" i="20"/>
  <c r="C16" i="34"/>
  <c r="C80" i="24"/>
  <c r="G16" i="24"/>
  <c r="G24" i="24"/>
  <c r="E25" i="34"/>
  <c r="F46" i="24"/>
  <c r="B56" i="34"/>
  <c r="B95" i="34" s="1"/>
  <c r="F56" i="34"/>
  <c r="D72" i="34"/>
  <c r="B73" i="34"/>
  <c r="B85" i="24"/>
  <c r="G15" i="8"/>
  <c r="E80" i="8"/>
  <c r="E13" i="34"/>
  <c r="G13" i="34" s="1"/>
  <c r="B80" i="25"/>
  <c r="B85" i="25"/>
  <c r="G73" i="25"/>
  <c r="D85" i="25"/>
  <c r="B42" i="26"/>
  <c r="G42" i="15"/>
  <c r="G73" i="15"/>
  <c r="G16" i="19"/>
  <c r="G73" i="19"/>
  <c r="G24" i="21"/>
  <c r="G25" i="21"/>
  <c r="B80" i="21"/>
  <c r="G80" i="21" s="1"/>
  <c r="B85" i="21"/>
  <c r="G73" i="21"/>
  <c r="D85" i="21"/>
  <c r="G24" i="30"/>
  <c r="B80" i="5"/>
  <c r="F80" i="5"/>
  <c r="D85" i="5"/>
  <c r="B42" i="6"/>
  <c r="G42" i="6" s="1"/>
  <c r="G15" i="6"/>
  <c r="G56" i="6"/>
  <c r="G90" i="6"/>
  <c r="G95" i="6"/>
  <c r="B80" i="7"/>
  <c r="G16" i="7"/>
  <c r="G72" i="7"/>
  <c r="G25" i="9"/>
  <c r="C80" i="12"/>
  <c r="G16" i="12"/>
  <c r="B80" i="31"/>
  <c r="G16" i="31"/>
  <c r="G56" i="41"/>
  <c r="G95" i="41"/>
  <c r="C42" i="36"/>
  <c r="G42" i="14"/>
  <c r="G95" i="14"/>
  <c r="D80" i="16"/>
  <c r="D85" i="16"/>
  <c r="G56" i="17"/>
  <c r="F85" i="17"/>
  <c r="B85" i="17"/>
  <c r="G73" i="20"/>
  <c r="D16" i="34"/>
  <c r="D24" i="34"/>
  <c r="D46" i="34" s="1"/>
  <c r="B25" i="34"/>
  <c r="F25" i="34"/>
  <c r="B42" i="24"/>
  <c r="F42" i="24"/>
  <c r="D46" i="24"/>
  <c r="D56" i="34"/>
  <c r="B72" i="34"/>
  <c r="F72" i="34"/>
  <c r="D73" i="34"/>
  <c r="D85" i="24"/>
  <c r="G15" i="25"/>
  <c r="F85" i="25"/>
  <c r="E46" i="26"/>
  <c r="G46" i="26" s="1"/>
  <c r="G56" i="28"/>
  <c r="B42" i="19"/>
  <c r="G42" i="19" s="1"/>
  <c r="G15" i="19"/>
  <c r="F85" i="21"/>
  <c r="B80" i="30"/>
  <c r="F80" i="30"/>
  <c r="G16" i="5"/>
  <c r="G56" i="5"/>
  <c r="B85" i="5"/>
  <c r="G95" i="5"/>
  <c r="G56" i="7"/>
  <c r="B85" i="7"/>
  <c r="C80" i="27"/>
  <c r="C80" i="29"/>
  <c r="G80" i="29" s="1"/>
  <c r="C85" i="29"/>
  <c r="G42" i="9"/>
  <c r="G56" i="13"/>
  <c r="G90" i="14"/>
  <c r="E80" i="16"/>
  <c r="G55" i="16"/>
  <c r="G16" i="17"/>
  <c r="C85" i="31"/>
  <c r="G73" i="31"/>
  <c r="B85" i="33"/>
  <c r="G72" i="18"/>
  <c r="G73" i="18"/>
  <c r="B85" i="18"/>
  <c r="E73" i="34"/>
  <c r="B80" i="8"/>
  <c r="F80" i="8"/>
  <c r="E16" i="25"/>
  <c r="E80" i="25" s="1"/>
  <c r="G13" i="25"/>
  <c r="G42" i="25"/>
  <c r="G72" i="26"/>
  <c r="G56" i="15"/>
  <c r="B80" i="19"/>
  <c r="F80" i="19"/>
  <c r="G56" i="19"/>
  <c r="B85" i="19"/>
  <c r="G85" i="19" s="1"/>
  <c r="G16" i="21"/>
  <c r="D80" i="6"/>
  <c r="G15" i="7"/>
  <c r="G25" i="27"/>
  <c r="G72" i="27"/>
  <c r="E80" i="38"/>
  <c r="E80" i="9"/>
  <c r="B46" i="9"/>
  <c r="G46" i="9" s="1"/>
  <c r="G15" i="12"/>
  <c r="G42" i="12"/>
  <c r="B85" i="22"/>
  <c r="F85" i="22"/>
  <c r="G72" i="33"/>
  <c r="F14" i="34"/>
  <c r="F16" i="18"/>
  <c r="F16" i="34" s="1"/>
  <c r="F80" i="34" s="1"/>
  <c r="G14" i="18"/>
  <c r="D85" i="18"/>
  <c r="G90" i="18"/>
  <c r="G23" i="34"/>
  <c r="D85" i="30"/>
  <c r="G85" i="30" s="1"/>
  <c r="E85" i="27"/>
  <c r="G72" i="29"/>
  <c r="G56" i="38"/>
  <c r="C80" i="13"/>
  <c r="G80" i="13" s="1"/>
  <c r="G16" i="13"/>
  <c r="G90" i="13"/>
  <c r="G15" i="16"/>
  <c r="D54" i="34"/>
  <c r="G54" i="16"/>
  <c r="G73" i="16"/>
  <c r="B80" i="17"/>
  <c r="F80" i="17"/>
  <c r="G42" i="20"/>
  <c r="G73" i="22"/>
  <c r="D85" i="31"/>
  <c r="G95" i="33"/>
  <c r="G56" i="36"/>
  <c r="D95" i="34"/>
  <c r="D85" i="9"/>
  <c r="B85" i="14"/>
  <c r="F85" i="14"/>
  <c r="C80" i="20"/>
  <c r="D85" i="20"/>
  <c r="G16" i="22"/>
  <c r="D80" i="31"/>
  <c r="E56" i="31"/>
  <c r="G54" i="31"/>
  <c r="E80" i="33"/>
  <c r="G56" i="33"/>
  <c r="G15" i="41"/>
  <c r="D42" i="41"/>
  <c r="G42" i="41" s="1"/>
  <c r="E80" i="18"/>
  <c r="G56" i="18"/>
  <c r="C80" i="36"/>
  <c r="G80" i="36" s="1"/>
  <c r="G72" i="36"/>
  <c r="G14" i="34"/>
  <c r="G15" i="14"/>
  <c r="G56" i="14"/>
  <c r="C85" i="14"/>
  <c r="C85" i="16"/>
  <c r="B42" i="17"/>
  <c r="G42" i="17" s="1"/>
  <c r="G15" i="17"/>
  <c r="G72" i="17"/>
  <c r="E80" i="31"/>
  <c r="B80" i="33"/>
  <c r="F80" i="33"/>
  <c r="B80" i="18"/>
  <c r="D80" i="36"/>
  <c r="G95" i="36"/>
  <c r="G90" i="36"/>
  <c r="B85" i="31"/>
  <c r="F85" i="31"/>
  <c r="F15" i="18"/>
  <c r="F42" i="18" s="1"/>
  <c r="G42" i="18" s="1"/>
  <c r="C85" i="18"/>
  <c r="F13" i="34"/>
  <c r="G22" i="34"/>
  <c r="G55" i="34"/>
  <c r="G15" i="20"/>
  <c r="G15" i="31"/>
  <c r="G15" i="33"/>
  <c r="G24" i="36"/>
  <c r="G71" i="34"/>
  <c r="G90" i="34"/>
  <c r="E85" i="31" l="1"/>
  <c r="E95" i="31"/>
  <c r="G85" i="24"/>
  <c r="G85" i="7"/>
  <c r="D85" i="34"/>
  <c r="G56" i="16"/>
  <c r="E95" i="16"/>
  <c r="E15" i="34"/>
  <c r="E42" i="34" s="1"/>
  <c r="G80" i="12"/>
  <c r="G56" i="8"/>
  <c r="E95" i="8"/>
  <c r="G15" i="34"/>
  <c r="E80" i="14"/>
  <c r="G80" i="14" s="1"/>
  <c r="G73" i="34"/>
  <c r="G80" i="22"/>
  <c r="G80" i="28"/>
  <c r="G15" i="36"/>
  <c r="G85" i="20"/>
  <c r="G85" i="9"/>
  <c r="G54" i="34"/>
  <c r="G16" i="36"/>
  <c r="F85" i="34"/>
  <c r="E85" i="16"/>
  <c r="G95" i="30"/>
  <c r="E46" i="34"/>
  <c r="G85" i="12"/>
  <c r="G80" i="24"/>
  <c r="G24" i="34"/>
  <c r="B42" i="34"/>
  <c r="G95" i="16"/>
  <c r="C46" i="34"/>
  <c r="G85" i="6"/>
  <c r="G85" i="26"/>
  <c r="G95" i="8"/>
  <c r="G85" i="16"/>
  <c r="G80" i="16"/>
  <c r="G15" i="26"/>
  <c r="G80" i="27"/>
  <c r="G85" i="15"/>
  <c r="D42" i="34"/>
  <c r="G80" i="38"/>
  <c r="G95" i="38"/>
  <c r="G95" i="9"/>
  <c r="G15" i="29"/>
  <c r="C85" i="34"/>
  <c r="G95" i="19"/>
  <c r="G80" i="19"/>
  <c r="G95" i="7"/>
  <c r="G85" i="5"/>
  <c r="G80" i="30"/>
  <c r="G95" i="28"/>
  <c r="G46" i="24"/>
  <c r="G85" i="17"/>
  <c r="G95" i="17"/>
  <c r="G42" i="36"/>
  <c r="G80" i="7"/>
  <c r="G42" i="26"/>
  <c r="C80" i="34"/>
  <c r="G85" i="38"/>
  <c r="G42" i="29"/>
  <c r="G16" i="30"/>
  <c r="G56" i="31"/>
  <c r="G80" i="25"/>
  <c r="G80" i="9"/>
  <c r="G25" i="34"/>
  <c r="E80" i="26"/>
  <c r="G80" i="26" s="1"/>
  <c r="G16" i="26"/>
  <c r="F80" i="18"/>
  <c r="G80" i="18" s="1"/>
  <c r="G16" i="18"/>
  <c r="G72" i="34"/>
  <c r="G95" i="24"/>
  <c r="G95" i="29"/>
  <c r="B80" i="34"/>
  <c r="G95" i="31"/>
  <c r="G85" i="29"/>
  <c r="E16" i="34"/>
  <c r="E80" i="34" s="1"/>
  <c r="G15" i="18"/>
  <c r="G85" i="14"/>
  <c r="G95" i="22"/>
  <c r="G16" i="25"/>
  <c r="G85" i="33"/>
  <c r="G42" i="24"/>
  <c r="D80" i="34"/>
  <c r="G80" i="31"/>
  <c r="G80" i="5"/>
  <c r="G85" i="21"/>
  <c r="B85" i="34"/>
  <c r="G95" i="27"/>
  <c r="G80" i="6"/>
  <c r="E56" i="34"/>
  <c r="E95" i="34" s="1"/>
  <c r="G85" i="27"/>
  <c r="G80" i="20"/>
  <c r="G16" i="29"/>
  <c r="G95" i="18"/>
  <c r="G85" i="31"/>
  <c r="G80" i="33"/>
  <c r="G80" i="17"/>
  <c r="G85" i="22"/>
  <c r="F95" i="34"/>
  <c r="G80" i="8"/>
  <c r="G85" i="18"/>
  <c r="F15" i="34"/>
  <c r="F42" i="34" s="1"/>
  <c r="G85" i="25"/>
  <c r="G46" i="34" l="1"/>
  <c r="G16" i="34"/>
  <c r="G80" i="34"/>
  <c r="G42" i="34"/>
  <c r="G95" i="34"/>
  <c r="E85" i="34"/>
  <c r="G85" i="34" s="1"/>
  <c r="G56" i="34"/>
</calcChain>
</file>

<file path=xl/comments1.xml><?xml version="1.0" encoding="utf-8"?>
<comments xmlns="http://schemas.openxmlformats.org/spreadsheetml/2006/main">
  <authors>
    <author>UNA</author>
  </authors>
  <commentList>
    <comment ref="G29" authorId="0">
      <text>
        <r>
          <rPr>
            <b/>
            <sz val="8"/>
            <color indexed="81"/>
            <rFont val="Tahoma"/>
            <family val="2"/>
          </rPr>
          <t xml:space="preserve">
</t>
        </r>
        <r>
          <rPr>
            <sz val="8"/>
            <color indexed="81"/>
            <rFont val="Tahoma"/>
            <family val="2"/>
          </rPr>
          <t xml:space="preserve">CIPs included:
     52.0301
</t>
        </r>
        <r>
          <rPr>
            <sz val="8"/>
            <color indexed="81"/>
            <rFont val="Tahoma"/>
            <family val="2"/>
          </rPr>
          <t xml:space="preserve">
</t>
        </r>
      </text>
    </comment>
    <comment ref="G39" authorId="0">
      <text>
        <r>
          <rPr>
            <sz val="8"/>
            <color indexed="81"/>
            <rFont val="Tahoma"/>
            <family val="2"/>
          </rPr>
          <t xml:space="preserve">
Ratio = # of declared majors/degrees conferred for the same fiscal year
</t>
        </r>
      </text>
    </comment>
    <comment ref="G51" authorId="0">
      <text>
        <r>
          <rPr>
            <sz val="8"/>
            <color indexed="81"/>
            <rFont val="Tahoma"/>
            <family val="2"/>
          </rPr>
          <t xml:space="preserve">
Credit Hour data was obtained from census files for each semester.</t>
        </r>
      </text>
    </comment>
    <comment ref="G59" authorId="0">
      <text>
        <r>
          <rPr>
            <b/>
            <sz val="8"/>
            <color indexed="81"/>
            <rFont val="Tahoma"/>
            <family val="2"/>
          </rPr>
          <t xml:space="preserve">
</t>
        </r>
        <r>
          <rPr>
            <sz val="8"/>
            <color indexed="81"/>
            <rFont val="Tahoma"/>
            <family val="2"/>
          </rPr>
          <t>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
</t>
        </r>
      </text>
    </comment>
    <comment ref="G78" authorId="0">
      <text>
        <r>
          <rPr>
            <b/>
            <sz val="8"/>
            <color indexed="81"/>
            <rFont val="Tahoma"/>
            <family val="2"/>
          </rPr>
          <t xml:space="preserve">
</t>
        </r>
        <r>
          <rPr>
            <sz val="8"/>
            <color indexed="81"/>
            <rFont val="Tahoma"/>
            <family val="2"/>
          </rPr>
          <t>Ratio = # FTE Students / # of FTE Faculty</t>
        </r>
      </text>
    </comment>
    <comment ref="G83" authorId="0">
      <text>
        <r>
          <rPr>
            <b/>
            <sz val="8"/>
            <color indexed="81"/>
            <rFont val="Tahoma"/>
            <family val="2"/>
          </rPr>
          <t xml:space="preserve">
</t>
        </r>
        <r>
          <rPr>
            <sz val="8"/>
            <color indexed="81"/>
            <rFont val="Tahoma"/>
            <family val="2"/>
          </rPr>
          <t>Ratio  = Total CHP / # FTE Faculty</t>
        </r>
      </text>
    </comment>
    <comment ref="G88" authorId="0">
      <text>
        <r>
          <rPr>
            <sz val="8"/>
            <color indexed="81"/>
            <rFont val="Tahoma"/>
            <family val="2"/>
          </rPr>
          <t xml:space="preserve">
Actual expenditure data was provided by Office of Vice President of Financial Affairs.
Does not include Summer School.
</t>
        </r>
      </text>
    </comment>
    <comment ref="G93" authorId="0">
      <text>
        <r>
          <rPr>
            <sz val="8"/>
            <color indexed="81"/>
            <rFont val="Tahoma"/>
            <family val="2"/>
          </rPr>
          <t xml:space="preserve">
Cost per Credit Hour = Total Dept Expenditure / Total number of CHP</t>
        </r>
      </text>
    </comment>
  </commentList>
</comments>
</file>

<file path=xl/comments10.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50.0701
    50.0702
    50.0799</t>
        </r>
      </text>
    </comment>
    <comment ref="G39" authorId="0">
      <text>
        <r>
          <rPr>
            <sz val="8"/>
            <color indexed="81"/>
            <rFont val="Tahoma"/>
            <family val="2"/>
          </rPr>
          <t xml:space="preserve">
Ratio = # of declared majors/degrees conferred for the same fiscal year
</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$11,909 returned to department </t>
        </r>
      </text>
    </comment>
    <comment ref="D89" authorId="1">
      <text>
        <r>
          <rPr>
            <b/>
            <sz val="9"/>
            <color indexed="81"/>
            <rFont val="Tahoma"/>
            <family val="2"/>
          </rPr>
          <t>Administrator:</t>
        </r>
        <r>
          <rPr>
            <sz val="9"/>
            <color indexed="81"/>
            <rFont val="Tahoma"/>
            <family val="2"/>
          </rPr>
          <t xml:space="preserve">
includes course fees of $8,478 returned to department </t>
        </r>
      </text>
    </comment>
    <comment ref="E89" authorId="1">
      <text>
        <r>
          <rPr>
            <b/>
            <sz val="9"/>
            <color indexed="81"/>
            <rFont val="Tahoma"/>
            <family val="2"/>
          </rPr>
          <t>Administrator:</t>
        </r>
        <r>
          <rPr>
            <sz val="9"/>
            <color indexed="81"/>
            <rFont val="Tahoma"/>
            <family val="2"/>
          </rPr>
          <t xml:space="preserve">
includes course fees of $14,732 returned to department </t>
        </r>
      </text>
    </comment>
    <comment ref="G93" authorId="0">
      <text>
        <r>
          <rPr>
            <sz val="8"/>
            <color indexed="81"/>
            <rFont val="Tahoma"/>
            <family val="2"/>
          </rPr>
          <t xml:space="preserve">
Cost per Credit Hour = Total Dept Expenditure / Total number of CHP</t>
        </r>
      </text>
    </comment>
  </commentList>
</comments>
</file>

<file path=xl/comments11.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26.0101
    26.0607
    26.1302</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$64,632 returned to department
</t>
        </r>
      </text>
    </comment>
    <comment ref="D89" authorId="1">
      <text>
        <r>
          <rPr>
            <b/>
            <sz val="9"/>
            <color indexed="81"/>
            <rFont val="Tahoma"/>
            <family val="2"/>
          </rPr>
          <t>Administrator:</t>
        </r>
        <r>
          <rPr>
            <sz val="9"/>
            <color indexed="81"/>
            <rFont val="Tahoma"/>
            <family val="2"/>
          </rPr>
          <t xml:space="preserve">
includes course fees of $69,494 returned to department </t>
        </r>
      </text>
    </comment>
    <comment ref="E89" authorId="1">
      <text>
        <r>
          <rPr>
            <b/>
            <sz val="9"/>
            <color indexed="81"/>
            <rFont val="Tahoma"/>
            <family val="2"/>
          </rPr>
          <t>Administrator:</t>
        </r>
        <r>
          <rPr>
            <sz val="9"/>
            <color indexed="81"/>
            <rFont val="Tahoma"/>
            <family val="2"/>
          </rPr>
          <t xml:space="preserve">
includes course fees of $92,114 returned to department </t>
        </r>
      </text>
    </comment>
    <comment ref="G93" authorId="0">
      <text>
        <r>
          <rPr>
            <sz val="8"/>
            <color indexed="81"/>
            <rFont val="Tahoma"/>
            <family val="2"/>
          </rPr>
          <t xml:space="preserve">
Cost per Credit Hour = Total Dept Expenditure / Total number of CHP</t>
        </r>
      </text>
    </comment>
  </commentList>
</comments>
</file>

<file path=xl/comments12.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40.0501
    40.9999</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includes course fees of $23,656 returned to department</t>
        </r>
      </text>
    </comment>
    <comment ref="D89" authorId="1">
      <text>
        <r>
          <rPr>
            <b/>
            <sz val="9"/>
            <color indexed="81"/>
            <rFont val="Tahoma"/>
            <family val="2"/>
          </rPr>
          <t>Administrator:</t>
        </r>
        <r>
          <rPr>
            <sz val="9"/>
            <color indexed="81"/>
            <rFont val="Tahoma"/>
            <family val="2"/>
          </rPr>
          <t xml:space="preserve">
includes course fees of $24,849 returned to department </t>
        </r>
      </text>
    </comment>
    <comment ref="E89" authorId="1">
      <text>
        <r>
          <rPr>
            <b/>
            <sz val="9"/>
            <color indexed="81"/>
            <rFont val="Tahoma"/>
            <family val="2"/>
          </rPr>
          <t>Administrator:</t>
        </r>
        <r>
          <rPr>
            <sz val="9"/>
            <color indexed="81"/>
            <rFont val="Tahoma"/>
            <family val="2"/>
          </rPr>
          <t xml:space="preserve">
includes course fees of $29,569 returned to department </t>
        </r>
      </text>
    </comment>
    <comment ref="G93" authorId="0">
      <text>
        <r>
          <rPr>
            <sz val="8"/>
            <color indexed="81"/>
            <rFont val="Tahoma"/>
            <family val="2"/>
          </rPr>
          <t xml:space="preserve">
Cost per Credit Hour = Total Dept Expenditure / Total number of CHP</t>
        </r>
      </text>
    </comment>
  </commentList>
</comments>
</file>

<file path=xl/comments13.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43.0103</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E89" authorId="1">
      <text>
        <r>
          <rPr>
            <b/>
            <sz val="9"/>
            <color indexed="81"/>
            <rFont val="Tahoma"/>
            <family val="2"/>
          </rPr>
          <t>Administrator:</t>
        </r>
        <r>
          <rPr>
            <sz val="9"/>
            <color indexed="81"/>
            <rFont val="Tahoma"/>
            <family val="2"/>
          </rPr>
          <t xml:space="preserve">
includes course fees of $948 returned to department </t>
        </r>
      </text>
    </comment>
    <comment ref="G93" authorId="0">
      <text>
        <r>
          <rPr>
            <sz val="8"/>
            <color indexed="81"/>
            <rFont val="Tahoma"/>
            <family val="2"/>
          </rPr>
          <t xml:space="preserve">
Cost per Credit Hour = Total Dept Expenditure / Total number of CHP</t>
        </r>
      </text>
    </comment>
  </commentList>
</comments>
</file>

<file path=xl/comments14.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09.0101
     09.0102</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$11,165 returned to department 
</t>
        </r>
      </text>
    </comment>
    <comment ref="D89" authorId="1">
      <text>
        <r>
          <rPr>
            <b/>
            <sz val="9"/>
            <color indexed="81"/>
            <rFont val="Tahoma"/>
            <family val="2"/>
          </rPr>
          <t>Administrator:</t>
        </r>
        <r>
          <rPr>
            <sz val="9"/>
            <color indexed="81"/>
            <rFont val="Tahoma"/>
            <family val="2"/>
          </rPr>
          <t xml:space="preserve">
includes course fees of $20,523 returned to department </t>
        </r>
      </text>
    </comment>
    <comment ref="E89" authorId="1">
      <text>
        <r>
          <rPr>
            <b/>
            <sz val="9"/>
            <color indexed="81"/>
            <rFont val="Tahoma"/>
            <family val="2"/>
          </rPr>
          <t>Administrator:</t>
        </r>
        <r>
          <rPr>
            <sz val="9"/>
            <color indexed="81"/>
            <rFont val="Tahoma"/>
            <family val="2"/>
          </rPr>
          <t xml:space="preserve">
includes course fees of $17,251 returned to department </t>
        </r>
      </text>
    </comment>
    <comment ref="G93" authorId="0">
      <text>
        <r>
          <rPr>
            <sz val="8"/>
            <color indexed="81"/>
            <rFont val="Tahoma"/>
            <family val="2"/>
          </rPr>
          <t xml:space="preserve">
Cost per Credit Hour = Total Dept Expenditure / Total number of CHP</t>
        </r>
      </text>
    </comment>
  </commentList>
</comments>
</file>

<file path=xl/comments15.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50.1001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includes course fees of $1,516 returned to department</t>
        </r>
      </text>
    </comment>
    <comment ref="D89" authorId="1">
      <text>
        <r>
          <rPr>
            <b/>
            <sz val="9"/>
            <color indexed="81"/>
            <rFont val="Tahoma"/>
            <family val="2"/>
          </rPr>
          <t>Administrator:</t>
        </r>
        <r>
          <rPr>
            <sz val="9"/>
            <color indexed="81"/>
            <rFont val="Tahoma"/>
            <family val="2"/>
          </rPr>
          <t xml:space="preserve">
includes course fees of $5,793 returned to department </t>
        </r>
      </text>
    </comment>
    <comment ref="E89" authorId="1">
      <text>
        <r>
          <rPr>
            <b/>
            <sz val="9"/>
            <color indexed="81"/>
            <rFont val="Tahoma"/>
            <family val="2"/>
          </rPr>
          <t>Administrator:</t>
        </r>
        <r>
          <rPr>
            <sz val="9"/>
            <color indexed="81"/>
            <rFont val="Tahoma"/>
            <family val="2"/>
          </rPr>
          <t xml:space="preserve">
includes course fees of $5,583 returned to department </t>
        </r>
      </text>
    </comment>
    <comment ref="G93" authorId="0">
      <text>
        <r>
          <rPr>
            <sz val="8"/>
            <color indexed="81"/>
            <rFont val="Tahoma"/>
            <family val="2"/>
          </rPr>
          <t xml:space="preserve">
Cost per Credit Hour = Total Dept Expenditure / Total number of CHP</t>
        </r>
      </text>
    </comment>
  </commentList>
</comments>
</file>

<file path=xl/comments16.xml><?xml version="1.0" encoding="utf-8"?>
<comments xmlns="http://schemas.openxmlformats.org/spreadsheetml/2006/main">
  <authors>
    <author>UNA</author>
  </authors>
  <commentList>
    <comment ref="G29" authorId="0">
      <text>
        <r>
          <rPr>
            <sz val="8"/>
            <color indexed="81"/>
            <rFont val="Tahoma"/>
            <family val="2"/>
          </rPr>
          <t xml:space="preserve">
CIPs included:
     23.0101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17.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16.0101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$4,617 returned to department </t>
        </r>
      </text>
    </comment>
    <comment ref="D89" authorId="1">
      <text>
        <r>
          <rPr>
            <b/>
            <sz val="9"/>
            <color indexed="81"/>
            <rFont val="Tahoma"/>
            <family val="2"/>
          </rPr>
          <t>Administrator:</t>
        </r>
        <r>
          <rPr>
            <sz val="9"/>
            <color indexed="81"/>
            <rFont val="Tahoma"/>
            <family val="2"/>
          </rPr>
          <t xml:space="preserve">
includes course fees of $5,191.68 returned to department </t>
        </r>
      </text>
    </comment>
    <comment ref="E89" authorId="1">
      <text>
        <r>
          <rPr>
            <b/>
            <sz val="9"/>
            <color indexed="81"/>
            <rFont val="Tahoma"/>
            <family val="2"/>
          </rPr>
          <t>Administrator:</t>
        </r>
        <r>
          <rPr>
            <sz val="9"/>
            <color indexed="81"/>
            <rFont val="Tahoma"/>
            <family val="2"/>
          </rPr>
          <t xml:space="preserve">
includes course fees of $6,262 returned to department </t>
        </r>
      </text>
    </comment>
    <comment ref="G93" authorId="0">
      <text>
        <r>
          <rPr>
            <sz val="8"/>
            <color indexed="81"/>
            <rFont val="Tahoma"/>
            <family val="2"/>
          </rPr>
          <t xml:space="preserve">
Cost per Credit Hour = Total Dept Expenditure / Total number of CHP</t>
        </r>
      </text>
    </comment>
  </commentList>
</comments>
</file>

<file path=xl/comments18.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45.0701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$8,147 returned to department </t>
        </r>
      </text>
    </comment>
    <comment ref="D89" authorId="1">
      <text>
        <r>
          <rPr>
            <b/>
            <sz val="9"/>
            <color indexed="81"/>
            <rFont val="Tahoma"/>
            <family val="2"/>
          </rPr>
          <t>Administrator:</t>
        </r>
        <r>
          <rPr>
            <sz val="9"/>
            <color indexed="81"/>
            <rFont val="Tahoma"/>
            <family val="2"/>
          </rPr>
          <t xml:space="preserve">
includes course fees of $17,151.96 returned to department </t>
        </r>
      </text>
    </comment>
    <comment ref="E89" authorId="1">
      <text>
        <r>
          <rPr>
            <b/>
            <sz val="9"/>
            <color indexed="81"/>
            <rFont val="Tahoma"/>
            <family val="2"/>
          </rPr>
          <t>Administrator:</t>
        </r>
        <r>
          <rPr>
            <sz val="9"/>
            <color indexed="81"/>
            <rFont val="Tahoma"/>
            <family val="2"/>
          </rPr>
          <t xml:space="preserve">
includes course fees of $9,750 returned to department </t>
        </r>
      </text>
    </comment>
    <comment ref="G93" authorId="0">
      <text>
        <r>
          <rPr>
            <sz val="8"/>
            <color indexed="81"/>
            <rFont val="Tahoma"/>
            <family val="2"/>
          </rPr>
          <t xml:space="preserve">
Cost per Credit Hour = Total Dept Expenditure / Total number of CHP</t>
        </r>
      </text>
    </comment>
  </commentList>
</comments>
</file>

<file path=xl/comments19.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45.0801
     45.1001
     54.0101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D89" authorId="1">
      <text>
        <r>
          <rPr>
            <b/>
            <sz val="9"/>
            <color indexed="81"/>
            <rFont val="Tahoma"/>
            <family val="2"/>
          </rPr>
          <t>Administrator:</t>
        </r>
        <r>
          <rPr>
            <sz val="9"/>
            <color indexed="81"/>
            <rFont val="Tahoma"/>
            <family val="2"/>
          </rPr>
          <t xml:space="preserve">
includes course fees of $1,414.19 returned to department </t>
        </r>
      </text>
    </comment>
    <comment ref="G93" authorId="0">
      <text>
        <r>
          <rPr>
            <sz val="8"/>
            <color indexed="81"/>
            <rFont val="Tahoma"/>
            <family val="2"/>
          </rPr>
          <t xml:space="preserve">
Cost per Credit Hour = Total Dept Expenditure / Total number of CHP</t>
        </r>
      </text>
    </comment>
  </commentList>
</comments>
</file>

<file path=xl/comments2.xml><?xml version="1.0" encoding="utf-8"?>
<comments xmlns="http://schemas.openxmlformats.org/spreadsheetml/2006/main">
  <authors>
    <author>Administrator</author>
    <author>UNA</author>
  </authors>
  <commentList>
    <comment ref="E13" authorId="0">
      <text>
        <r>
          <rPr>
            <b/>
            <sz val="9"/>
            <color indexed="81"/>
            <rFont val="Tahoma"/>
            <family val="2"/>
          </rPr>
          <t>Administrator:</t>
        </r>
        <r>
          <rPr>
            <sz val="9"/>
            <color indexed="81"/>
            <rFont val="Tahoma"/>
            <family val="2"/>
          </rPr>
          <t xml:space="preserve">
Was 126, incorrectly</t>
        </r>
      </text>
    </comment>
    <comment ref="E14" authorId="0">
      <text>
        <r>
          <rPr>
            <b/>
            <sz val="9"/>
            <color indexed="81"/>
            <rFont val="Tahoma"/>
            <family val="2"/>
          </rPr>
          <t>Administrator:</t>
        </r>
        <r>
          <rPr>
            <sz val="9"/>
            <color indexed="81"/>
            <rFont val="Tahoma"/>
            <family val="2"/>
          </rPr>
          <t xml:space="preserve">
Was 38, Incorrectly</t>
        </r>
      </text>
    </comment>
    <comment ref="G29" authorId="1">
      <text>
        <r>
          <rPr>
            <sz val="8"/>
            <color indexed="81"/>
            <rFont val="Tahoma"/>
            <family val="2"/>
          </rPr>
          <t xml:space="preserve">
CIPs included:
     52.1201</t>
        </r>
      </text>
    </comment>
    <comment ref="G39" authorId="1">
      <text>
        <r>
          <rPr>
            <sz val="8"/>
            <color indexed="81"/>
            <rFont val="Tahoma"/>
            <family val="2"/>
          </rPr>
          <t xml:space="preserve">
Ratio = # of declared majors/degrees conferred for the same fiscal year</t>
        </r>
      </text>
    </comment>
    <comment ref="G51" authorId="1">
      <text>
        <r>
          <rPr>
            <sz val="8"/>
            <color indexed="81"/>
            <rFont val="Tahoma"/>
            <family val="2"/>
          </rPr>
          <t xml:space="preserve">
Credit Hour data was obtained from census files for each semester.</t>
        </r>
      </text>
    </comment>
    <comment ref="G59" authorId="1">
      <text>
        <r>
          <rPr>
            <sz val="8"/>
            <color indexed="81"/>
            <rFont val="Tahoma"/>
            <family val="2"/>
          </rPr>
          <t xml:space="preserve">
Includes classes of 6 or more students.</t>
        </r>
      </text>
    </comment>
    <comment ref="G67" authorId="1">
      <text>
        <r>
          <rPr>
            <sz val="8"/>
            <color indexed="81"/>
            <rFont val="Tahoma"/>
            <family val="2"/>
          </rPr>
          <t xml:space="preserve">
Faculty data provided by Office of Vice President for Academic Affairs.
FTE Faculty = FT Faculty + (PT Faculty/3) …. as per U.S. News definition</t>
        </r>
      </text>
    </comment>
    <comment ref="G78" authorId="1">
      <text>
        <r>
          <rPr>
            <sz val="8"/>
            <color indexed="81"/>
            <rFont val="Tahoma"/>
            <family val="2"/>
          </rPr>
          <t xml:space="preserve">
Ratio = # FTE Students / # of FTE Faculty</t>
        </r>
      </text>
    </comment>
    <comment ref="G83" authorId="1">
      <text>
        <r>
          <rPr>
            <sz val="8"/>
            <color indexed="81"/>
            <rFont val="Tahoma"/>
            <family val="2"/>
          </rPr>
          <t xml:space="preserve">
Ratio  = Total CHP / # FTE Faculty</t>
        </r>
      </text>
    </comment>
    <comment ref="G88" authorId="1">
      <text>
        <r>
          <rPr>
            <sz val="8"/>
            <color indexed="81"/>
            <rFont val="Tahoma"/>
            <family val="2"/>
          </rPr>
          <t xml:space="preserve">
Actual expenditure data was provided by Office of Vice President of Financial Affairs.
Does not include Summer School.</t>
        </r>
      </text>
    </comment>
    <comment ref="G93" authorId="1">
      <text>
        <r>
          <rPr>
            <sz val="8"/>
            <color indexed="81"/>
            <rFont val="Tahoma"/>
            <family val="2"/>
          </rPr>
          <t xml:space="preserve">
Cost per Credit Hour = Total Dept Expenditure / Total number of CHP</t>
        </r>
      </text>
    </comment>
  </commentList>
</comments>
</file>

<file path=xl/comments20.xml><?xml version="1.0" encoding="utf-8"?>
<comments xmlns="http://schemas.openxmlformats.org/spreadsheetml/2006/main">
  <authors>
    <author>UNA</author>
  </authors>
  <commentList>
    <comment ref="G29" authorId="0">
      <text>
        <r>
          <rPr>
            <sz val="8"/>
            <color indexed="81"/>
            <rFont val="Tahoma"/>
            <family val="2"/>
          </rPr>
          <t xml:space="preserve">
CIPs included:
     27.0101
     11.0101 </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21.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50.0901
     13.1206 (This CIP is divided between HPER and MU Ed)</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$18,061 returned to department </t>
        </r>
      </text>
    </comment>
    <comment ref="D89" authorId="1">
      <text>
        <r>
          <rPr>
            <b/>
            <sz val="9"/>
            <color indexed="81"/>
            <rFont val="Tahoma"/>
            <family val="2"/>
          </rPr>
          <t>Administrator:</t>
        </r>
        <r>
          <rPr>
            <sz val="9"/>
            <color indexed="81"/>
            <rFont val="Tahoma"/>
            <family val="2"/>
          </rPr>
          <t xml:space="preserve">
includes course fees of $18,761.28 returned to department </t>
        </r>
      </text>
    </comment>
    <comment ref="E89" authorId="1">
      <text>
        <r>
          <rPr>
            <b/>
            <sz val="9"/>
            <color indexed="81"/>
            <rFont val="Tahoma"/>
            <family val="2"/>
          </rPr>
          <t>Administrator:</t>
        </r>
        <r>
          <rPr>
            <sz val="9"/>
            <color indexed="81"/>
            <rFont val="Tahoma"/>
            <family val="2"/>
          </rPr>
          <t xml:space="preserve">
includes course fees of $14,096 returned to department </t>
        </r>
      </text>
    </comment>
    <comment ref="G93" authorId="0">
      <text>
        <r>
          <rPr>
            <sz val="8"/>
            <color indexed="81"/>
            <rFont val="Tahoma"/>
            <family val="2"/>
          </rPr>
          <t xml:space="preserve">
Cost per Credit Hour = Total Dept Expenditure / Total number of CHP</t>
        </r>
      </text>
    </comment>
  </commentList>
</comments>
</file>

<file path=xl/comments22.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40.0801
    40.0601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$6,488 returned to department </t>
        </r>
      </text>
    </comment>
    <comment ref="D89" authorId="1">
      <text>
        <r>
          <rPr>
            <b/>
            <sz val="9"/>
            <color indexed="81"/>
            <rFont val="Tahoma"/>
            <family val="2"/>
          </rPr>
          <t>Administrator:</t>
        </r>
        <r>
          <rPr>
            <sz val="9"/>
            <color indexed="81"/>
            <rFont val="Tahoma"/>
            <family val="2"/>
          </rPr>
          <t xml:space="preserve">
includes course fees of $32,354.52 returned to department </t>
        </r>
      </text>
    </comment>
    <comment ref="E89" authorId="1">
      <text>
        <r>
          <rPr>
            <b/>
            <sz val="9"/>
            <color indexed="81"/>
            <rFont val="Tahoma"/>
            <family val="2"/>
          </rPr>
          <t>Administrator:</t>
        </r>
        <r>
          <rPr>
            <sz val="9"/>
            <color indexed="81"/>
            <rFont val="Tahoma"/>
            <family val="2"/>
          </rPr>
          <t xml:space="preserve">
includes course fees of $5,466 returned to department </t>
        </r>
      </text>
    </comment>
    <comment ref="G93" authorId="0">
      <text>
        <r>
          <rPr>
            <sz val="8"/>
            <color indexed="81"/>
            <rFont val="Tahoma"/>
            <family val="2"/>
          </rPr>
          <t xml:space="preserve">
Cost per Credit Hour = Total Dept Expenditure / Total number of CHP</t>
        </r>
      </text>
    </comment>
  </commentList>
</comments>
</file>

<file path=xl/comments23.xml><?xml version="1.0" encoding="utf-8"?>
<comments xmlns="http://schemas.openxmlformats.org/spreadsheetml/2006/main">
  <authors>
    <author>UNA</author>
  </authors>
  <commentList>
    <comment ref="G29" authorId="0">
      <text>
        <r>
          <rPr>
            <sz val="8"/>
            <color indexed="81"/>
            <rFont val="Tahoma"/>
            <family val="2"/>
          </rPr>
          <t xml:space="preserve">
CIPs included:
    42.0101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24.xml><?xml version="1.0" encoding="utf-8"?>
<comments xmlns="http://schemas.openxmlformats.org/spreadsheetml/2006/main">
  <authors>
    <author>UNA</author>
  </authors>
  <commentList>
    <comment ref="G29" authorId="0">
      <text>
        <r>
          <rPr>
            <sz val="8"/>
            <color indexed="81"/>
            <rFont val="Tahoma"/>
            <family val="2"/>
          </rPr>
          <t xml:space="preserve">
CIPs included:
     45.1101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25.xml><?xml version="1.0" encoding="utf-8"?>
<comments xmlns="http://schemas.openxmlformats.org/spreadsheetml/2006/main">
  <authors>
    <author>UNA</author>
  </authors>
  <commentList>
    <comment ref="G29" authorId="0">
      <text>
        <r>
          <rPr>
            <sz val="8"/>
            <color indexed="81"/>
            <rFont val="Tahoma"/>
            <family val="2"/>
          </rPr>
          <t xml:space="preserve">
CIPs included:
     44.0701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26.xml><?xml version="1.0" encoding="utf-8"?>
<comments xmlns="http://schemas.openxmlformats.org/spreadsheetml/2006/main">
  <authors>
    <author>UNA</author>
  </authors>
  <commentList>
    <comment ref="G29" authorId="0">
      <text>
        <r>
          <rPr>
            <sz val="8"/>
            <color indexed="81"/>
            <rFont val="Tahoma"/>
            <family val="2"/>
          </rPr>
          <t xml:space="preserve">
CIPs included:
    13.1206 (This CIP is divided between HPER and MU Ed)
    31.9999</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27.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51.1601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$126 returned to department </t>
        </r>
      </text>
    </comment>
    <comment ref="D89" authorId="1">
      <text>
        <r>
          <rPr>
            <b/>
            <sz val="9"/>
            <color indexed="81"/>
            <rFont val="Tahoma"/>
            <family val="2"/>
          </rPr>
          <t>Administrator:</t>
        </r>
        <r>
          <rPr>
            <sz val="9"/>
            <color indexed="81"/>
            <rFont val="Tahoma"/>
            <family val="2"/>
          </rPr>
          <t xml:space="preserve">
includes course fees of $7,548.02 returned to department </t>
        </r>
      </text>
    </comment>
    <comment ref="E89" authorId="1">
      <text>
        <r>
          <rPr>
            <b/>
            <sz val="9"/>
            <color indexed="81"/>
            <rFont val="Tahoma"/>
            <family val="2"/>
          </rPr>
          <t>Administrator:</t>
        </r>
        <r>
          <rPr>
            <sz val="9"/>
            <color indexed="81"/>
            <rFont val="Tahoma"/>
            <family val="2"/>
          </rPr>
          <t xml:space="preserve">
includes course fees of $141,385 returned to department </t>
        </r>
      </text>
    </comment>
    <comment ref="G93" authorId="0">
      <text>
        <r>
          <rPr>
            <sz val="8"/>
            <color indexed="81"/>
            <rFont val="Tahoma"/>
            <family val="2"/>
          </rPr>
          <t xml:space="preserve">
Cost per Credit Hour = Total Dept Expenditure / Total number of CHP</t>
        </r>
      </text>
    </comment>
  </commentList>
</comments>
</file>

<file path=xl/comments28.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51.1601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D89" authorId="1">
      <text>
        <r>
          <rPr>
            <b/>
            <sz val="9"/>
            <color indexed="81"/>
            <rFont val="Tahoma"/>
            <family val="2"/>
          </rPr>
          <t>Administrator:</t>
        </r>
        <r>
          <rPr>
            <sz val="9"/>
            <color indexed="81"/>
            <rFont val="Tahoma"/>
            <family val="2"/>
          </rPr>
          <t xml:space="preserve">
includes $282,957.81 und
and $264,36.72 grad</t>
        </r>
      </text>
    </comment>
    <comment ref="E89" authorId="1">
      <text>
        <r>
          <rPr>
            <b/>
            <sz val="9"/>
            <color indexed="81"/>
            <rFont val="Tahoma"/>
            <family val="2"/>
          </rPr>
          <t>Administrator:</t>
        </r>
        <r>
          <rPr>
            <sz val="9"/>
            <color indexed="81"/>
            <rFont val="Tahoma"/>
            <family val="2"/>
          </rPr>
          <t xml:space="preserve">
includes $284,420 und
and $191,984 grad</t>
        </r>
      </text>
    </comment>
    <comment ref="G93" authorId="0">
      <text>
        <r>
          <rPr>
            <sz val="8"/>
            <color indexed="81"/>
            <rFont val="Tahoma"/>
            <family val="2"/>
          </rPr>
          <t xml:space="preserve">
Cost per Credit Hour = Total Dept Expenditure / Total number of CHP</t>
        </r>
      </text>
    </comment>
  </commentList>
</comments>
</file>

<file path=xl/comments29.xml><?xml version="1.0" encoding="utf-8"?>
<comments xmlns="http://schemas.openxmlformats.org/spreadsheetml/2006/main">
  <authors>
    <author>UNA</author>
  </authors>
  <commentList>
    <comment ref="G29" authorId="0">
      <text>
        <r>
          <rPr>
            <sz val="8"/>
            <color indexed="81"/>
            <rFont val="Tahoma"/>
            <family val="2"/>
          </rPr>
          <t xml:space="preserve">
CIPs included:
    See tag on each dept sheet</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3.xml><?xml version="1.0" encoding="utf-8"?>
<comments xmlns="http://schemas.openxmlformats.org/spreadsheetml/2006/main">
  <authors>
    <author>UNA</author>
  </authors>
  <commentList>
    <comment ref="G29" authorId="0">
      <text>
        <r>
          <rPr>
            <sz val="8"/>
            <color indexed="81"/>
            <rFont val="Tahoma"/>
            <family val="2"/>
          </rPr>
          <t xml:space="preserve">
CIPs included:
     52.0601
     52.0801
</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4.xml><?xml version="1.0" encoding="utf-8"?>
<comments xmlns="http://schemas.openxmlformats.org/spreadsheetml/2006/main">
  <authors>
    <author>UNA</author>
  </authors>
  <commentList>
    <comment ref="G29" authorId="0">
      <text>
        <r>
          <rPr>
            <sz val="8"/>
            <color indexed="81"/>
            <rFont val="Tahoma"/>
            <family val="2"/>
          </rPr>
          <t xml:space="preserve">
CIPs included:
     52.0201
     52.1401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5.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13.1101
     42.0601
42.2803
</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includes course fees of $361 returned to department</t>
        </r>
      </text>
    </comment>
    <comment ref="D89" authorId="1">
      <text>
        <r>
          <rPr>
            <b/>
            <sz val="9"/>
            <color indexed="81"/>
            <rFont val="Tahoma"/>
            <family val="2"/>
          </rPr>
          <t>Administrator:</t>
        </r>
        <r>
          <rPr>
            <sz val="9"/>
            <color indexed="81"/>
            <rFont val="Tahoma"/>
            <family val="2"/>
          </rPr>
          <t xml:space="preserve">
includes course fees of $300 returned to department </t>
        </r>
      </text>
    </comment>
    <comment ref="E89" authorId="1">
      <text>
        <r>
          <rPr>
            <b/>
            <sz val="9"/>
            <color indexed="81"/>
            <rFont val="Tahoma"/>
            <family val="2"/>
          </rPr>
          <t>Administrator:</t>
        </r>
        <r>
          <rPr>
            <sz val="9"/>
            <color indexed="81"/>
            <rFont val="Tahoma"/>
            <family val="2"/>
          </rPr>
          <t xml:space="preserve">
includes course fees of $1,155 returned to department </t>
        </r>
      </text>
    </comment>
    <comment ref="G93" authorId="0">
      <text>
        <r>
          <rPr>
            <sz val="8"/>
            <color indexed="81"/>
            <rFont val="Tahoma"/>
            <family val="2"/>
          </rPr>
          <t xml:space="preserve">
Cost per Credit Hour = Total Dept Expenditure / Total number of CHP</t>
        </r>
      </text>
    </comment>
  </commentList>
</comments>
</file>

<file path=xl/comments6.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13.1202
     13.1204
     13.1001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includes course fees of $3,394 returned to department</t>
        </r>
      </text>
    </comment>
    <comment ref="D89" authorId="1">
      <text>
        <r>
          <rPr>
            <b/>
            <sz val="9"/>
            <color indexed="81"/>
            <rFont val="Tahoma"/>
            <family val="2"/>
          </rPr>
          <t>Administrator:</t>
        </r>
        <r>
          <rPr>
            <sz val="9"/>
            <color indexed="81"/>
            <rFont val="Tahoma"/>
            <family val="2"/>
          </rPr>
          <t xml:space="preserve">
includes course fees of $3,165 returned to department </t>
        </r>
      </text>
    </comment>
    <comment ref="E89" authorId="1">
      <text>
        <r>
          <rPr>
            <b/>
            <sz val="9"/>
            <color indexed="81"/>
            <rFont val="Tahoma"/>
            <family val="2"/>
          </rPr>
          <t>Administrator:</t>
        </r>
        <r>
          <rPr>
            <sz val="9"/>
            <color indexed="81"/>
            <rFont val="Tahoma"/>
            <family val="2"/>
          </rPr>
          <t xml:space="preserve">
includes course fees of $3,028 returned to department </t>
        </r>
      </text>
    </comment>
    <comment ref="G93" authorId="0">
      <text>
        <r>
          <rPr>
            <sz val="8"/>
            <color indexed="81"/>
            <rFont val="Tahoma"/>
            <family val="2"/>
          </rPr>
          <t xml:space="preserve">
Cost per Credit Hour = Total Dept Expenditure / Total number of CHP</t>
        </r>
      </text>
    </comment>
  </commentList>
</comments>
</file>

<file path=xl/comments7.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19.0101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$5,236 returned to department </t>
        </r>
      </text>
    </comment>
    <comment ref="D89" authorId="1">
      <text>
        <r>
          <rPr>
            <b/>
            <sz val="9"/>
            <color indexed="81"/>
            <rFont val="Tahoma"/>
            <family val="2"/>
          </rPr>
          <t>Administrator:</t>
        </r>
        <r>
          <rPr>
            <sz val="9"/>
            <color indexed="81"/>
            <rFont val="Tahoma"/>
            <family val="2"/>
          </rPr>
          <t xml:space="preserve">
includes course fees of $9,569.97 returned to department </t>
        </r>
      </text>
    </comment>
    <comment ref="E89" authorId="1">
      <text>
        <r>
          <rPr>
            <b/>
            <sz val="9"/>
            <color indexed="81"/>
            <rFont val="Tahoma"/>
            <family val="2"/>
          </rPr>
          <t>Administrator:</t>
        </r>
        <r>
          <rPr>
            <sz val="9"/>
            <color indexed="81"/>
            <rFont val="Tahoma"/>
            <family val="2"/>
          </rPr>
          <t xml:space="preserve">
includes course fees of $21,404 returned to department </t>
        </r>
      </text>
    </comment>
    <comment ref="G93" authorId="0">
      <text>
        <r>
          <rPr>
            <sz val="8"/>
            <color indexed="81"/>
            <rFont val="Tahoma"/>
            <family val="2"/>
          </rPr>
          <t xml:space="preserve">
Cost per Credit Hour = Total Dept Expenditure / Total number of CHP</t>
        </r>
      </text>
    </comment>
  </commentList>
</comments>
</file>

<file path=xl/comments8.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13.1206 (This CIP is divided between HPER and MU Ed)
    31.9999</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$12,778 returned to department </t>
        </r>
      </text>
    </comment>
    <comment ref="D89" authorId="1">
      <text>
        <r>
          <rPr>
            <b/>
            <sz val="9"/>
            <color indexed="81"/>
            <rFont val="Tahoma"/>
            <family val="2"/>
          </rPr>
          <t>Administrator:</t>
        </r>
        <r>
          <rPr>
            <sz val="9"/>
            <color indexed="81"/>
            <rFont val="Tahoma"/>
            <family val="2"/>
          </rPr>
          <t xml:space="preserve">
includes course fees of $8,050.24 returned to department </t>
        </r>
      </text>
    </comment>
    <comment ref="E89" authorId="1">
      <text>
        <r>
          <rPr>
            <b/>
            <sz val="9"/>
            <color indexed="81"/>
            <rFont val="Tahoma"/>
            <family val="2"/>
          </rPr>
          <t>Administrator:</t>
        </r>
        <r>
          <rPr>
            <sz val="9"/>
            <color indexed="81"/>
            <rFont val="Tahoma"/>
            <family val="2"/>
          </rPr>
          <t xml:space="preserve">
includes course fees of $21,404 returned to department </t>
        </r>
      </text>
    </comment>
    <comment ref="G93" authorId="0">
      <text>
        <r>
          <rPr>
            <sz val="8"/>
            <color indexed="81"/>
            <rFont val="Tahoma"/>
            <family val="2"/>
          </rPr>
          <t xml:space="preserve">
Cost per Credit Hour = Total Dept Expenditure / Total number of CHP</t>
        </r>
      </text>
    </comment>
  </commentList>
</comments>
</file>

<file path=xl/comments9.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13.1205
     13.0401
     45.0101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E89" authorId="1">
      <text>
        <r>
          <rPr>
            <b/>
            <sz val="9"/>
            <color indexed="81"/>
            <rFont val="Tahoma"/>
            <family val="2"/>
          </rPr>
          <t>Administrator:</t>
        </r>
        <r>
          <rPr>
            <sz val="9"/>
            <color indexed="81"/>
            <rFont val="Tahoma"/>
            <family val="2"/>
          </rPr>
          <t xml:space="preserve">
includes course fees of $7,721 returned to department </t>
        </r>
      </text>
    </comment>
    <comment ref="G93" authorId="0">
      <text>
        <r>
          <rPr>
            <sz val="8"/>
            <color indexed="81"/>
            <rFont val="Tahoma"/>
            <family val="2"/>
          </rPr>
          <t xml:space="preserve">
Cost per Credit Hour = Total Dept Expenditure / Total number of CHP</t>
        </r>
      </text>
    </comment>
  </commentList>
</comments>
</file>

<file path=xl/sharedStrings.xml><?xml version="1.0" encoding="utf-8"?>
<sst xmlns="http://schemas.openxmlformats.org/spreadsheetml/2006/main" count="3785" uniqueCount="82">
  <si>
    <t>Bachelor</t>
  </si>
  <si>
    <t>Average</t>
  </si>
  <si>
    <t>Status</t>
  </si>
  <si>
    <t>Full-Time</t>
  </si>
  <si>
    <t>Part-Time</t>
  </si>
  <si>
    <t>Total</t>
  </si>
  <si>
    <t>Master</t>
  </si>
  <si>
    <t>Degrees Awarded</t>
  </si>
  <si>
    <t>Ratio</t>
  </si>
  <si>
    <t>4. Student Credit Hours (Summer, Fall, and Spring Semesters Combined)</t>
  </si>
  <si>
    <t>Level</t>
  </si>
  <si>
    <t>Division</t>
  </si>
  <si>
    <t>Graduate</t>
  </si>
  <si>
    <t>Faculty</t>
  </si>
  <si>
    <t>CH/Faculty</t>
  </si>
  <si>
    <t>Budget</t>
  </si>
  <si>
    <t>Cost</t>
  </si>
  <si>
    <t>DEPARTMENT:</t>
  </si>
  <si>
    <t>Art</t>
  </si>
  <si>
    <t>Biology</t>
  </si>
  <si>
    <t>English</t>
  </si>
  <si>
    <t>Music</t>
  </si>
  <si>
    <t>Psychology</t>
  </si>
  <si>
    <t>8. Credit Hours/FTE Faculty</t>
  </si>
  <si>
    <r>
      <t xml:space="preserve">7. FTE Student/FTE Faculty Ratio </t>
    </r>
    <r>
      <rPr>
        <sz val="10"/>
        <rFont val="Arial"/>
        <family val="2"/>
      </rPr>
      <t>(as per U.S. News definition)</t>
    </r>
  </si>
  <si>
    <t>2. Number of Degrees Conferred</t>
  </si>
  <si>
    <t>3. Majors/Degrees Conferred Ratio</t>
  </si>
  <si>
    <t>UNIVERSITY OF NORTH ALABAMA</t>
  </si>
  <si>
    <t>INSTITUTIONAL RESEARCH, PLANNING, AND ASSESSMENT</t>
  </si>
  <si>
    <t>Chemistry &amp; Industrial Hygiene</t>
  </si>
  <si>
    <t>Communications &amp; Theatre</t>
  </si>
  <si>
    <t>History &amp; Political Science</t>
  </si>
  <si>
    <t>Counselor Education</t>
  </si>
  <si>
    <t>Economics &amp; Finance</t>
  </si>
  <si>
    <t>Elementary Education</t>
  </si>
  <si>
    <t>Human Environmental Sciences</t>
  </si>
  <si>
    <t>Management &amp; Marketing</t>
  </si>
  <si>
    <t>Mathematics &amp; Computer Science</t>
  </si>
  <si>
    <t>Physics &amp; Earth Science</t>
  </si>
  <si>
    <t>Secondary Education</t>
  </si>
  <si>
    <t>Accounting and Business Law</t>
  </si>
  <si>
    <t>Sociology</t>
  </si>
  <si>
    <t xml:space="preserve">Foreign Languages </t>
  </si>
  <si>
    <t>Geography</t>
  </si>
  <si>
    <t>Health, Physical, Education, Recreation</t>
  </si>
  <si>
    <t xml:space="preserve"> </t>
  </si>
  <si>
    <t>** Prior Years included Criminal Justice as of</t>
  </si>
  <si>
    <t>2006-07 CJ is a stand alone department</t>
  </si>
  <si>
    <t>Included in Management &amp; Marketing</t>
  </si>
  <si>
    <t xml:space="preserve">                                      </t>
  </si>
  <si>
    <t>Criminal Justice</t>
  </si>
  <si>
    <t xml:space="preserve">E-Nursing included in 2005-2006 </t>
  </si>
  <si>
    <t>Five-Year Department Evaluation Data</t>
  </si>
  <si>
    <t>Undergrad</t>
  </si>
  <si>
    <t>10. Cost Per Credit Hour (Total Department Expenditures/Total Credit Hours)</t>
  </si>
  <si>
    <t>Includes Criminal Justice until 2006 - 2007</t>
  </si>
  <si>
    <t xml:space="preserve">Social Work </t>
  </si>
  <si>
    <t>Summary of All</t>
  </si>
  <si>
    <t>9. Department Expenditures (including Actual Personnel and Non-Personnel)</t>
  </si>
  <si>
    <t>5. Average Class Size</t>
  </si>
  <si>
    <t>6. Number of Faculty (Fall Semester)</t>
  </si>
  <si>
    <t>FTE Students</t>
  </si>
  <si>
    <t>FTE Faculty</t>
  </si>
  <si>
    <t>Nursing - Online Program</t>
  </si>
  <si>
    <t>Nursing - Traditional Program</t>
  </si>
  <si>
    <t>Entertainment Industry Center</t>
  </si>
  <si>
    <t>2009-10</t>
  </si>
  <si>
    <t>1. Number of Duplicated Majors (Summer, Fall, and Spring Semesters Combined)</t>
  </si>
  <si>
    <t>2010-11</t>
  </si>
  <si>
    <t>Interdisciplinary Studies</t>
  </si>
  <si>
    <t>2011-12</t>
  </si>
  <si>
    <t>2011-12*</t>
  </si>
  <si>
    <t>*Computer Science moved to Computer Information Systems in 2011</t>
  </si>
  <si>
    <t>*Computer Science was moved to Computer Information Systems in 2011</t>
  </si>
  <si>
    <t>5. Average Class Size (Classes of 6 or more students)</t>
  </si>
  <si>
    <t>8. Credit Hours/FTE Faculty Ratio</t>
  </si>
  <si>
    <t>2012-13</t>
  </si>
  <si>
    <t>2013-14</t>
  </si>
  <si>
    <t>INSTITUTIONAL RESEARCH, PLANNING &amp; ASSESSMENT</t>
  </si>
  <si>
    <t>Computer Science and Information Systems</t>
  </si>
  <si>
    <t>* 2013-14 Data will be posted once it is available</t>
  </si>
  <si>
    <t>2013-14*</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</si>
</sst>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quot;$&quot;#,##0"/>
    <numFmt numFmtId="165" formatCode="&quot;$&quot;#,##0.00"/>
    <numFmt numFmtId="166" formatCode="_(* #,##0.0_);_(* \(#,##0.0\);_(* &quot;-&quot;??_);_(@_)"/>
    <numFmt numFmtId="167" formatCode="_(* #,##0_);_(* \(#,##0\);_(* &quot;-&quot;??_);_(@_)"/>
    <numFmt numFmtId="168" formatCode="0.0"/>
    <numFmt numFmtId="169" formatCode="_(&quot;$&quot;* #,##0_);_(&quot;$&quot;* \(#,##0\);_(&quot;$&quot;* &quot;-&quot;??_);_(@_)"/>
  </numFmts>
  <fonts count="20" x14ac:knownFonts="1">
    <font>
      <sz val="10"/>
      <name val="Arial"/>
    </font>
    <font>
      <sz val="10"/>
      <name val="Arial"/>
      <family val="2"/>
    </font>
    <font>
      <sz val="8"/>
      <name val="Arial"/>
      <family val="2"/>
    </font>
    <font>
      <b/>
      <sz val="10"/>
      <name val="Arial"/>
      <family val="2"/>
    </font>
    <font>
      <i/>
      <sz val="10"/>
      <name val="Arial"/>
      <family val="2"/>
    </font>
    <font>
      <sz val="10"/>
      <name val="Arial"/>
      <family val="2"/>
    </font>
    <font>
      <sz val="8"/>
      <name val="Arial"/>
      <family val="2"/>
    </font>
    <font>
      <b/>
      <sz val="10"/>
      <color indexed="10"/>
      <name val="Arial"/>
      <family val="2"/>
    </font>
    <font>
      <sz val="8"/>
      <color indexed="81"/>
      <name val="Tahoma"/>
      <family val="2"/>
    </font>
    <font>
      <b/>
      <sz val="8"/>
      <color indexed="81"/>
      <name val="Tahoma"/>
      <family val="2"/>
    </font>
    <font>
      <b/>
      <i/>
      <sz val="10"/>
      <name val="Arial"/>
      <family val="2"/>
    </font>
    <font>
      <sz val="9"/>
      <color indexed="81"/>
      <name val="Tahoma"/>
      <family val="2"/>
    </font>
    <font>
      <b/>
      <sz val="9"/>
      <color indexed="81"/>
      <name val="Tahoma"/>
      <family val="2"/>
    </font>
    <font>
      <b/>
      <sz val="11"/>
      <name val="Arial"/>
      <family val="2"/>
    </font>
    <font>
      <sz val="10"/>
      <name val="Arial"/>
      <family val="2"/>
    </font>
    <font>
      <sz val="11"/>
      <color rgb="FF9C0006"/>
      <name val="Calibri"/>
      <family val="2"/>
      <scheme val="minor"/>
    </font>
    <font>
      <sz val="10"/>
      <color rgb="FFFF0000"/>
      <name val="Arial"/>
      <family val="2"/>
    </font>
    <font>
      <b/>
      <sz val="10"/>
      <color rgb="FFFF0000"/>
      <name val="Arial"/>
      <family val="2"/>
    </font>
    <font>
      <sz val="11"/>
      <name val="Calibri"/>
      <family val="2"/>
      <scheme val="minor"/>
    </font>
    <font>
      <i/>
      <sz val="8"/>
      <name val="Arial"/>
      <family val="2"/>
    </font>
  </fonts>
  <fills count="9">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rgb="FFFFC7CE"/>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99CC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0" fontId="15" fillId="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71">
    <xf numFmtId="0" fontId="0" fillId="0" borderId="0" xfId="0"/>
    <xf numFmtId="0" fontId="3" fillId="0" borderId="0" xfId="0" applyFont="1" applyAlignment="1">
      <alignment horizontal="center"/>
    </xf>
    <xf numFmtId="0" fontId="3" fillId="0" borderId="0" xfId="0" applyFont="1"/>
    <xf numFmtId="0" fontId="0" fillId="0" borderId="1" xfId="0" applyBorder="1"/>
    <xf numFmtId="0" fontId="0" fillId="0" borderId="1" xfId="0" applyBorder="1" applyAlignment="1">
      <alignment wrapText="1"/>
    </xf>
    <xf numFmtId="0" fontId="0" fillId="0" borderId="0" xfId="0" applyFill="1" applyBorder="1"/>
    <xf numFmtId="0" fontId="3" fillId="0" borderId="0" xfId="0" applyFont="1" applyAlignment="1">
      <alignment horizontal="left"/>
    </xf>
    <xf numFmtId="0" fontId="0" fillId="0" borderId="0" xfId="0" applyBorder="1"/>
    <xf numFmtId="0" fontId="0" fillId="0" borderId="1" xfId="0" applyFill="1" applyBorder="1"/>
    <xf numFmtId="2" fontId="0" fillId="0" borderId="1" xfId="0" applyNumberFormat="1" applyBorder="1"/>
    <xf numFmtId="3" fontId="0" fillId="0" borderId="1" xfId="0" applyNumberFormat="1" applyBorder="1"/>
    <xf numFmtId="164" fontId="0" fillId="0" borderId="0" xfId="0" applyNumberFormat="1" applyBorder="1"/>
    <xf numFmtId="165" fontId="0" fillId="0" borderId="0" xfId="0" applyNumberFormat="1" applyBorder="1"/>
    <xf numFmtId="2" fontId="0" fillId="0" borderId="0" xfId="0" applyNumberFormat="1" applyBorder="1"/>
    <xf numFmtId="0" fontId="5" fillId="0" borderId="0" xfId="0" applyFont="1" applyFill="1" applyBorder="1"/>
    <xf numFmtId="0" fontId="3" fillId="0" borderId="0" xfId="0" applyFont="1" applyAlignment="1">
      <alignment horizontal="center" wrapText="1" shrinkToFit="1"/>
    </xf>
    <xf numFmtId="0" fontId="5" fillId="0" borderId="0" xfId="0" applyFont="1"/>
    <xf numFmtId="0" fontId="0" fillId="0" borderId="2" xfId="0" applyBorder="1"/>
    <xf numFmtId="0" fontId="7" fillId="0" borderId="0" xfId="0" applyFont="1"/>
    <xf numFmtId="0" fontId="0" fillId="0" borderId="0" xfId="0" applyFill="1"/>
    <xf numFmtId="2" fontId="0" fillId="0" borderId="1" xfId="0" applyNumberFormat="1" applyFill="1" applyBorder="1"/>
    <xf numFmtId="1" fontId="0" fillId="0" borderId="1" xfId="0" applyNumberFormat="1" applyFill="1" applyBorder="1"/>
    <xf numFmtId="0" fontId="3" fillId="2" borderId="0" xfId="0" applyFont="1" applyFill="1"/>
    <xf numFmtId="0" fontId="10" fillId="0" borderId="0" xfId="0" applyFont="1" applyBorder="1"/>
    <xf numFmtId="0" fontId="10" fillId="0" borderId="0" xfId="0" applyFont="1" applyFill="1" applyBorder="1" applyAlignment="1">
      <alignment horizontal="center"/>
    </xf>
    <xf numFmtId="0" fontId="10" fillId="0" borderId="0" xfId="0" applyFont="1"/>
    <xf numFmtId="2" fontId="5" fillId="0" borderId="1" xfId="0" applyNumberFormat="1" applyFont="1" applyBorder="1"/>
    <xf numFmtId="0" fontId="16" fillId="0" borderId="1" xfId="0" applyFont="1" applyBorder="1" applyAlignment="1">
      <alignment horizontal="center"/>
    </xf>
    <xf numFmtId="0" fontId="16" fillId="0" borderId="1" xfId="0" applyFont="1" applyBorder="1" applyAlignment="1">
      <alignment horizontal="center" wrapText="1"/>
    </xf>
    <xf numFmtId="3" fontId="0" fillId="0" borderId="1" xfId="0" applyNumberFormat="1" applyFill="1" applyBorder="1"/>
    <xf numFmtId="0" fontId="10" fillId="0" borderId="0" xfId="0" applyFont="1" applyFill="1" applyBorder="1"/>
    <xf numFmtId="0" fontId="10" fillId="0" borderId="0" xfId="0" applyFont="1" applyFill="1"/>
    <xf numFmtId="0" fontId="3" fillId="0" borderId="0" xfId="0" applyFont="1" applyFill="1"/>
    <xf numFmtId="0" fontId="3" fillId="5" borderId="0" xfId="0" applyFont="1" applyFill="1"/>
    <xf numFmtId="0" fontId="16" fillId="0" borderId="0" xfId="0" applyFont="1"/>
    <xf numFmtId="0" fontId="17" fillId="0" borderId="0" xfId="0" applyFont="1"/>
    <xf numFmtId="0" fontId="5" fillId="0" borderId="1" xfId="0" applyFont="1" applyBorder="1"/>
    <xf numFmtId="167" fontId="0" fillId="0" borderId="1" xfId="2" applyNumberFormat="1" applyFont="1" applyBorder="1"/>
    <xf numFmtId="167" fontId="0" fillId="0" borderId="0" xfId="2" applyNumberFormat="1" applyFont="1"/>
    <xf numFmtId="167" fontId="0" fillId="0" borderId="0" xfId="0" applyNumberFormat="1"/>
    <xf numFmtId="1" fontId="0" fillId="0" borderId="0" xfId="0" applyNumberFormat="1"/>
    <xf numFmtId="0" fontId="5" fillId="0" borderId="1" xfId="0" applyFont="1" applyBorder="1" applyAlignment="1">
      <alignment horizontal="center"/>
    </xf>
    <xf numFmtId="0" fontId="5" fillId="0" borderId="0" xfId="0" applyFont="1" applyBorder="1"/>
    <xf numFmtId="0" fontId="5" fillId="0" borderId="1" xfId="0" applyFont="1" applyBorder="1" applyAlignment="1">
      <alignment horizontal="center" wrapText="1"/>
    </xf>
    <xf numFmtId="2" fontId="5" fillId="0" borderId="0" xfId="0" applyNumberFormat="1" applyFont="1" applyBorder="1"/>
    <xf numFmtId="3" fontId="5" fillId="0" borderId="1" xfId="0" applyNumberFormat="1" applyFont="1" applyBorder="1"/>
    <xf numFmtId="0" fontId="5" fillId="0" borderId="1" xfId="0" applyFont="1" applyBorder="1" applyAlignment="1">
      <alignment horizontal="right"/>
    </xf>
    <xf numFmtId="168" fontId="0" fillId="0" borderId="1" xfId="0" applyNumberFormat="1" applyBorder="1"/>
    <xf numFmtId="0" fontId="0" fillId="0" borderId="0" xfId="0" applyFill="1" applyAlignment="1">
      <alignment horizontal="center"/>
    </xf>
    <xf numFmtId="0" fontId="3" fillId="0" borderId="0" xfId="0" applyFont="1" applyFill="1" applyAlignment="1">
      <alignment horizontal="center"/>
    </xf>
    <xf numFmtId="0" fontId="3" fillId="0" borderId="0" xfId="0" applyFont="1" applyFill="1" applyAlignment="1">
      <alignment horizontal="center" wrapText="1" shrinkToFit="1"/>
    </xf>
    <xf numFmtId="2" fontId="0" fillId="0" borderId="0" xfId="0" applyNumberFormat="1" applyFill="1" applyBorder="1"/>
    <xf numFmtId="165" fontId="5" fillId="0" borderId="0" xfId="0" applyNumberFormat="1" applyFont="1" applyFill="1" applyBorder="1"/>
    <xf numFmtId="0" fontId="17" fillId="0" borderId="0" xfId="0" applyFont="1" applyFill="1"/>
    <xf numFmtId="0" fontId="16" fillId="0" borderId="0" xfId="0" applyFont="1" applyFill="1"/>
    <xf numFmtId="0" fontId="15" fillId="0" borderId="0" xfId="1" applyFill="1"/>
    <xf numFmtId="165" fontId="0" fillId="0" borderId="0" xfId="0" applyNumberFormat="1" applyFill="1" applyBorder="1"/>
    <xf numFmtId="1" fontId="0" fillId="0" borderId="0" xfId="0" applyNumberFormat="1" applyFill="1"/>
    <xf numFmtId="0" fontId="0" fillId="0" borderId="1" xfId="0" applyBorder="1" applyAlignment="1">
      <alignment horizontal="center"/>
    </xf>
    <xf numFmtId="0" fontId="15" fillId="6" borderId="0" xfId="1" applyFill="1"/>
    <xf numFmtId="0" fontId="18" fillId="6" borderId="1" xfId="1" applyFont="1" applyFill="1" applyBorder="1"/>
    <xf numFmtId="0" fontId="0" fillId="7" borderId="0" xfId="0" applyFill="1"/>
    <xf numFmtId="0" fontId="0" fillId="0" borderId="3" xfId="0" applyBorder="1"/>
    <xf numFmtId="2" fontId="0" fillId="0" borderId="3" xfId="0" applyNumberFormat="1" applyBorder="1"/>
    <xf numFmtId="0" fontId="0" fillId="0" borderId="3" xfId="0" applyFill="1" applyBorder="1"/>
    <xf numFmtId="0" fontId="5" fillId="0" borderId="3" xfId="0" applyFont="1" applyBorder="1"/>
    <xf numFmtId="0" fontId="5" fillId="0" borderId="3" xfId="0" applyFont="1" applyBorder="1" applyAlignment="1">
      <alignment horizontal="right"/>
    </xf>
    <xf numFmtId="2" fontId="5" fillId="0" borderId="3" xfId="0" applyNumberFormat="1" applyFont="1" applyBorder="1"/>
    <xf numFmtId="0" fontId="5" fillId="0" borderId="3" xfId="0" applyFont="1" applyBorder="1" applyAlignment="1">
      <alignment horizontal="center"/>
    </xf>
    <xf numFmtId="3" fontId="0" fillId="0" borderId="1" xfId="2" applyNumberFormat="1" applyFont="1" applyBorder="1"/>
    <xf numFmtId="167" fontId="3" fillId="0" borderId="0" xfId="2" applyNumberFormat="1" applyFont="1" applyAlignment="1">
      <alignment horizontal="center"/>
    </xf>
    <xf numFmtId="167" fontId="3" fillId="0" borderId="0" xfId="2" applyNumberFormat="1" applyFont="1" applyAlignment="1">
      <alignment horizontal="center" wrapText="1" shrinkToFit="1"/>
    </xf>
    <xf numFmtId="167" fontId="14" fillId="5" borderId="0" xfId="2" applyNumberFormat="1" applyFont="1" applyFill="1"/>
    <xf numFmtId="167" fontId="10" fillId="0" borderId="0" xfId="2" applyNumberFormat="1" applyFont="1" applyFill="1" applyBorder="1" applyAlignment="1">
      <alignment horizontal="center"/>
    </xf>
    <xf numFmtId="167" fontId="10" fillId="0" borderId="1" xfId="2" applyNumberFormat="1" applyFont="1" applyBorder="1" applyAlignment="1">
      <alignment horizontal="center"/>
    </xf>
    <xf numFmtId="167" fontId="0" fillId="3" borderId="1" xfId="2" applyNumberFormat="1" applyFont="1" applyFill="1" applyBorder="1"/>
    <xf numFmtId="167" fontId="0" fillId="0" borderId="0" xfId="2" applyNumberFormat="1" applyFont="1" applyBorder="1"/>
    <xf numFmtId="167" fontId="10" fillId="0" borderId="1" xfId="2" applyNumberFormat="1" applyFont="1" applyFill="1" applyBorder="1" applyAlignment="1">
      <alignment horizontal="center"/>
    </xf>
    <xf numFmtId="167" fontId="14" fillId="8" borderId="1" xfId="2" applyNumberFormat="1" applyFont="1" applyFill="1" applyBorder="1"/>
    <xf numFmtId="167" fontId="0" fillId="2" borderId="0" xfId="2" applyNumberFormat="1" applyFont="1" applyFill="1"/>
    <xf numFmtId="167" fontId="16" fillId="0" borderId="0" xfId="2" applyNumberFormat="1" applyFont="1"/>
    <xf numFmtId="167" fontId="16" fillId="0" borderId="0" xfId="2" applyNumberFormat="1" applyFont="1" applyFill="1" applyBorder="1"/>
    <xf numFmtId="167" fontId="0" fillId="0" borderId="0" xfId="2" applyNumberFormat="1" applyFont="1" applyFill="1" applyBorder="1"/>
    <xf numFmtId="167" fontId="10" fillId="0" borderId="0" xfId="2" applyNumberFormat="1" applyFont="1" applyBorder="1" applyAlignment="1">
      <alignment horizontal="center"/>
    </xf>
    <xf numFmtId="167" fontId="0" fillId="0" borderId="0" xfId="2" applyNumberFormat="1" applyFont="1" applyFill="1"/>
    <xf numFmtId="169" fontId="0" fillId="3" borderId="1" xfId="3" applyNumberFormat="1" applyFont="1" applyFill="1" applyBorder="1"/>
    <xf numFmtId="0" fontId="5" fillId="0" borderId="1" xfId="0" applyFont="1" applyFill="1" applyBorder="1" applyAlignment="1"/>
    <xf numFmtId="0" fontId="0" fillId="0" borderId="4" xfId="0" applyBorder="1"/>
    <xf numFmtId="0" fontId="3" fillId="2" borderId="10" xfId="0" applyFont="1" applyFill="1" applyBorder="1"/>
    <xf numFmtId="0" fontId="0" fillId="2" borderId="11" xfId="0" applyFill="1" applyBorder="1"/>
    <xf numFmtId="0" fontId="0" fillId="2" borderId="12" xfId="0" applyFill="1" applyBorder="1"/>
    <xf numFmtId="0" fontId="0" fillId="0" borderId="13" xfId="0" applyBorder="1"/>
    <xf numFmtId="0" fontId="0" fillId="0" borderId="14" xfId="0" applyBorder="1"/>
    <xf numFmtId="0" fontId="10" fillId="0" borderId="13" xfId="0" applyFont="1" applyBorder="1"/>
    <xf numFmtId="2" fontId="0" fillId="0" borderId="8" xfId="0" applyNumberFormat="1" applyBorder="1"/>
    <xf numFmtId="0" fontId="0" fillId="0" borderId="5" xfId="0" applyFill="1" applyBorder="1"/>
    <xf numFmtId="2" fontId="0" fillId="0" borderId="6" xfId="0" applyNumberFormat="1" applyBorder="1"/>
    <xf numFmtId="2" fontId="0" fillId="0" borderId="7" xfId="0" applyNumberFormat="1" applyBorder="1"/>
    <xf numFmtId="0" fontId="0" fillId="0" borderId="5" xfId="0" applyBorder="1"/>
    <xf numFmtId="2" fontId="0" fillId="0" borderId="15" xfId="0" applyNumberFormat="1" applyBorder="1"/>
    <xf numFmtId="164" fontId="0" fillId="0" borderId="6" xfId="0" applyNumberFormat="1" applyBorder="1"/>
    <xf numFmtId="165" fontId="0" fillId="0" borderId="7" xfId="0" applyNumberFormat="1" applyBorder="1"/>
    <xf numFmtId="165" fontId="0" fillId="0" borderId="6" xfId="0" applyNumberFormat="1" applyBorder="1"/>
    <xf numFmtId="4" fontId="0" fillId="0" borderId="8" xfId="0" applyNumberFormat="1" applyBorder="1"/>
    <xf numFmtId="0" fontId="0" fillId="0" borderId="6" xfId="0" applyBorder="1"/>
    <xf numFmtId="4" fontId="0" fillId="0" borderId="7" xfId="0" applyNumberFormat="1" applyBorder="1"/>
    <xf numFmtId="3" fontId="0" fillId="0" borderId="6" xfId="0" applyNumberFormat="1" applyBorder="1"/>
    <xf numFmtId="0" fontId="0" fillId="0" borderId="4" xfId="0" applyBorder="1" applyAlignment="1">
      <alignment wrapText="1"/>
    </xf>
    <xf numFmtId="0" fontId="0" fillId="0" borderId="5" xfId="0" applyBorder="1" applyAlignment="1">
      <alignment wrapText="1"/>
    </xf>
    <xf numFmtId="0" fontId="0" fillId="0" borderId="16" xfId="0" applyBorder="1"/>
    <xf numFmtId="2" fontId="0" fillId="0" borderId="16" xfId="0" applyNumberFormat="1" applyBorder="1"/>
    <xf numFmtId="0" fontId="0" fillId="0" borderId="4" xfId="0" applyFill="1" applyBorder="1"/>
    <xf numFmtId="0" fontId="0" fillId="0" borderId="13" xfId="0" applyFill="1" applyBorder="1"/>
    <xf numFmtId="2" fontId="0" fillId="0" borderId="9" xfId="0" applyNumberFormat="1" applyBorder="1"/>
    <xf numFmtId="2" fontId="0" fillId="0" borderId="17" xfId="0" applyNumberFormat="1" applyBorder="1"/>
    <xf numFmtId="166" fontId="0" fillId="0" borderId="15" xfId="2" applyNumberFormat="1" applyFont="1" applyBorder="1"/>
    <xf numFmtId="166" fontId="0" fillId="0" borderId="6" xfId="2" applyNumberFormat="1" applyFont="1" applyBorder="1"/>
    <xf numFmtId="166" fontId="0" fillId="0" borderId="7" xfId="2" applyNumberFormat="1" applyFont="1" applyBorder="1"/>
    <xf numFmtId="164" fontId="0" fillId="0" borderId="6" xfId="0" applyNumberFormat="1" applyFill="1" applyBorder="1"/>
    <xf numFmtId="0" fontId="0" fillId="0" borderId="6" xfId="0" applyFill="1" applyBorder="1"/>
    <xf numFmtId="0" fontId="5" fillId="0" borderId="5" xfId="0" applyFont="1" applyBorder="1"/>
    <xf numFmtId="2" fontId="5" fillId="0" borderId="15" xfId="0" applyNumberFormat="1" applyFont="1" applyBorder="1"/>
    <xf numFmtId="2" fontId="5" fillId="0" borderId="6" xfId="0" applyNumberFormat="1" applyFont="1" applyBorder="1"/>
    <xf numFmtId="2" fontId="5" fillId="0" borderId="7" xfId="0" applyNumberFormat="1" applyFont="1" applyBorder="1"/>
    <xf numFmtId="167" fontId="5" fillId="0" borderId="6" xfId="2" applyNumberFormat="1" applyFont="1" applyBorder="1"/>
    <xf numFmtId="164" fontId="5" fillId="0" borderId="6" xfId="0" applyNumberFormat="1" applyFont="1" applyBorder="1"/>
    <xf numFmtId="165" fontId="5" fillId="0" borderId="7" xfId="0" applyNumberFormat="1" applyFont="1" applyBorder="1"/>
    <xf numFmtId="0" fontId="5" fillId="2" borderId="11" xfId="0" applyFont="1" applyFill="1" applyBorder="1"/>
    <xf numFmtId="0" fontId="5" fillId="0" borderId="6" xfId="0" applyFont="1" applyBorder="1"/>
    <xf numFmtId="0" fontId="16" fillId="0" borderId="6" xfId="0" applyFont="1" applyBorder="1" applyAlignment="1">
      <alignment horizontal="center" wrapText="1"/>
    </xf>
    <xf numFmtId="0" fontId="5" fillId="0" borderId="6" xfId="0" applyFont="1" applyBorder="1" applyAlignment="1">
      <alignment horizontal="center" wrapText="1"/>
    </xf>
    <xf numFmtId="2" fontId="5" fillId="0" borderId="9" xfId="0" applyNumberFormat="1" applyFont="1" applyBorder="1"/>
    <xf numFmtId="3" fontId="0" fillId="0" borderId="6" xfId="2" applyNumberFormat="1" applyFont="1" applyBorder="1"/>
    <xf numFmtId="1" fontId="0" fillId="0" borderId="6" xfId="0" applyNumberFormat="1" applyBorder="1"/>
    <xf numFmtId="1" fontId="0" fillId="0" borderId="9" xfId="0" applyNumberFormat="1" applyBorder="1"/>
    <xf numFmtId="164" fontId="0" fillId="0" borderId="7" xfId="0" applyNumberFormat="1" applyBorder="1"/>
    <xf numFmtId="2" fontId="0" fillId="0" borderId="6" xfId="0" applyNumberFormat="1" applyFill="1" applyBorder="1"/>
    <xf numFmtId="2" fontId="0" fillId="0" borderId="9" xfId="0" applyNumberFormat="1" applyFill="1" applyBorder="1"/>
    <xf numFmtId="165" fontId="0" fillId="0" borderId="6" xfId="0" applyNumberFormat="1" applyFill="1" applyBorder="1"/>
    <xf numFmtId="0" fontId="10" fillId="0" borderId="19" xfId="0" applyFont="1" applyFill="1" applyBorder="1" applyAlignment="1">
      <alignment horizontal="center"/>
    </xf>
    <xf numFmtId="0" fontId="10" fillId="0" borderId="18" xfId="0" applyFont="1" applyBorder="1" applyAlignment="1">
      <alignment horizontal="center"/>
    </xf>
    <xf numFmtId="0" fontId="10" fillId="6" borderId="19" xfId="0" applyFont="1" applyFill="1" applyBorder="1" applyAlignment="1">
      <alignment horizontal="center"/>
    </xf>
    <xf numFmtId="0" fontId="3" fillId="0" borderId="0" xfId="0" applyFont="1" applyBorder="1" applyAlignment="1">
      <alignment horizontal="center"/>
    </xf>
    <xf numFmtId="0" fontId="10" fillId="0" borderId="0" xfId="0" applyFont="1" applyBorder="1" applyAlignment="1">
      <alignment horizontal="left"/>
    </xf>
    <xf numFmtId="0" fontId="10" fillId="0" borderId="0" xfId="0" applyFont="1" applyBorder="1" applyAlignment="1"/>
    <xf numFmtId="0" fontId="3" fillId="0" borderId="0" xfId="0" applyFont="1" applyBorder="1" applyAlignment="1"/>
    <xf numFmtId="0" fontId="3" fillId="0" borderId="0" xfId="0" applyFont="1" applyBorder="1" applyAlignment="1">
      <alignment horizontal="left"/>
    </xf>
    <xf numFmtId="0" fontId="10" fillId="0" borderId="0" xfId="0" applyFont="1" applyAlignment="1">
      <alignment horizontal="center"/>
    </xf>
    <xf numFmtId="0" fontId="19" fillId="0" borderId="0" xfId="0" applyFont="1"/>
    <xf numFmtId="0" fontId="0" fillId="0" borderId="20" xfId="0" applyBorder="1"/>
    <xf numFmtId="0" fontId="10" fillId="0" borderId="1" xfId="0" applyFont="1" applyFill="1" applyBorder="1" applyAlignment="1">
      <alignment horizontal="center"/>
    </xf>
    <xf numFmtId="0" fontId="10" fillId="0" borderId="1" xfId="0" applyFont="1" applyBorder="1" applyAlignment="1">
      <alignment horizontal="center"/>
    </xf>
    <xf numFmtId="0" fontId="3" fillId="5" borderId="10" xfId="0" applyFont="1" applyFill="1" applyBorder="1"/>
    <xf numFmtId="0" fontId="0" fillId="5" borderId="21" xfId="0" applyFill="1" applyBorder="1"/>
    <xf numFmtId="0" fontId="10" fillId="5" borderId="21" xfId="0" applyFont="1" applyFill="1" applyBorder="1" applyAlignment="1">
      <alignment horizontal="center"/>
    </xf>
    <xf numFmtId="0" fontId="10" fillId="5" borderId="11" xfId="0" applyFont="1" applyFill="1" applyBorder="1" applyAlignment="1">
      <alignment horizontal="center"/>
    </xf>
    <xf numFmtId="0" fontId="0" fillId="5" borderId="22" xfId="0" applyFill="1" applyBorder="1"/>
    <xf numFmtId="0" fontId="10" fillId="0" borderId="8" xfId="0" applyFont="1" applyBorder="1" applyAlignment="1">
      <alignment horizontal="center"/>
    </xf>
    <xf numFmtId="165" fontId="5" fillId="0" borderId="6" xfId="0" applyNumberFormat="1" applyFont="1" applyBorder="1"/>
    <xf numFmtId="0" fontId="0" fillId="0" borderId="0" xfId="0" applyAlignment="1">
      <alignment horizontal="center"/>
    </xf>
    <xf numFmtId="0" fontId="1" fillId="0" borderId="0" xfId="0" applyFont="1" applyAlignment="1">
      <alignment horizontal="center"/>
    </xf>
    <xf numFmtId="0" fontId="13" fillId="0" borderId="0" xfId="0" applyFont="1" applyAlignment="1">
      <alignment horizontal="center"/>
    </xf>
    <xf numFmtId="0" fontId="10" fillId="0" borderId="0" xfId="0" applyFont="1" applyBorder="1" applyAlignment="1">
      <alignment horizontal="left"/>
    </xf>
    <xf numFmtId="0" fontId="4" fillId="0" borderId="0" xfId="0" applyFont="1" applyBorder="1" applyAlignment="1"/>
    <xf numFmtId="0" fontId="3" fillId="0" borderId="0" xfId="0" applyFont="1" applyBorder="1" applyAlignment="1">
      <alignment horizontal="left"/>
    </xf>
    <xf numFmtId="0" fontId="3" fillId="0" borderId="0" xfId="0" applyFont="1" applyAlignment="1">
      <alignment horizontal="left"/>
    </xf>
    <xf numFmtId="0" fontId="0" fillId="0" borderId="0" xfId="0" applyBorder="1" applyAlignment="1"/>
    <xf numFmtId="0" fontId="3" fillId="0" borderId="0" xfId="0" applyFont="1" applyAlignment="1">
      <alignment horizontal="center"/>
    </xf>
    <xf numFmtId="167" fontId="10" fillId="0" borderId="0" xfId="2" applyNumberFormat="1" applyFont="1" applyAlignment="1">
      <alignment horizontal="left"/>
    </xf>
    <xf numFmtId="167" fontId="3" fillId="0" borderId="0" xfId="2" applyNumberFormat="1" applyFont="1" applyAlignment="1">
      <alignment horizontal="left"/>
    </xf>
    <xf numFmtId="167" fontId="0" fillId="0" borderId="0" xfId="2" applyNumberFormat="1" applyFont="1" applyAlignment="1"/>
  </cellXfs>
  <cellStyles count="4">
    <cellStyle name="Bad" xfId="1" builtinId="27"/>
    <cellStyle name="Comma" xfId="2" builtinId="3"/>
    <cellStyle name="Currency" xfId="3"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28573</xdr:rowOff>
    </xdr:from>
    <xdr:to>
      <xdr:col>0</xdr:col>
      <xdr:colOff>8648701</xdr:colOff>
      <xdr:row>80</xdr:row>
      <xdr:rowOff>95250</xdr:rowOff>
    </xdr:to>
    <xdr:sp macro="" textlink="">
      <xdr:nvSpPr>
        <xdr:cNvPr id="29697" name="Text Box 1"/>
        <xdr:cNvSpPr txBox="1">
          <a:spLocks noChangeArrowheads="1"/>
        </xdr:cNvSpPr>
      </xdr:nvSpPr>
      <xdr:spPr bwMode="auto">
        <a:xfrm>
          <a:off x="0" y="28573"/>
          <a:ext cx="8648701" cy="1302067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This workbook includes FY 2009-10 through FY 2013-14 data.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All worksheets are set up identically.  Most sections have a "comment tab" to the right of the section explaining how the data were retrieved or calculated.  To learn more about the definition of a particular section, move your cursor to the small </a:t>
          </a:r>
          <a:r>
            <a:rPr lang="en-US" sz="1000" b="1" i="0" u="none" strike="noStrike" baseline="0">
              <a:solidFill>
                <a:srgbClr val="FF0000"/>
              </a:solidFill>
              <a:latin typeface="Arial"/>
              <a:cs typeface="Arial"/>
            </a:rPr>
            <a:t>RED</a:t>
          </a:r>
          <a:r>
            <a:rPr lang="en-US" sz="1000" b="0" i="0" u="none" strike="noStrike" baseline="0">
              <a:solidFill>
                <a:srgbClr val="000000"/>
              </a:solidFill>
              <a:latin typeface="Arial"/>
              <a:cs typeface="Arial"/>
            </a:rPr>
            <a:t> triangle located at the upper left corner of the grey title box for that section.  These notes are also proved at the bottom of this page.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number of majors is based on both FIRST and SECOND majors.  Therefore, if a student has a double major, that student will be counted twice.  If a student changes majors during the year, the last declared major during that FY is what is reported.  All majors are retrieved from OIRPA Census file RES002 (PLUS) and RES044 (BANNER).  For this report, a student's full-time/part-time status is determined by their FT/PT status during the last semester of an academic year in which their enrollment was captured. If a student was enrolled during the Spring semester, which is the last semester of an academic year, then their FT/PT status of that semester classifies the student for the academic year.  However, if the student was not enrolled in the Spring, but was enrolled in the Fall, then there FT/PT status during the Fall semester classifies the student.</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Credit Hour Production data were retrieved from OIRPA census file RES003 (PLUS) and RES046 (BANNER); budget figures for expenditures were provided by Office of Vice President of Financial Affairs; and Faculty information was compiled using census file HR005 and VPAA data files (PLUS) and RES047 (BANNER).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Graduation data were retrieved using  RES054 (BANNER) and were collected by Classification of Instruction (CIP) codes.  A list of codes applicable to UNA follows: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09.0101    Rhetorical Studies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09.0102    Mass Communication/Media Studies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11.0101    Computer Science</a:t>
          </a:r>
        </a:p>
        <a:p>
          <a:pPr algn="l" rtl="0">
            <a:defRPr sz="1000"/>
          </a:pPr>
          <a:r>
            <a:rPr lang="en-US" sz="1000" b="0" i="0" u="none" strike="noStrike" baseline="0">
              <a:solidFill>
                <a:srgbClr val="000000"/>
              </a:solidFill>
              <a:latin typeface="Arial"/>
              <a:cs typeface="Arial"/>
            </a:rPr>
            <a:t>13.0101    Education General - EDS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13.0401    Education Administration</a:t>
          </a:r>
        </a:p>
        <a:p>
          <a:pPr algn="l" rtl="0">
            <a:defRPr sz="1000"/>
          </a:pPr>
          <a:r>
            <a:rPr lang="en-US" sz="1000" b="0" i="0" u="none" strike="noStrike" baseline="0">
              <a:solidFill>
                <a:srgbClr val="000000"/>
              </a:solidFill>
              <a:latin typeface="Arial"/>
              <a:cs typeface="Arial"/>
            </a:rPr>
            <a:t>13.1001    Special Education  </a:t>
          </a:r>
          <a:r>
            <a:rPr lang="en-US" sz="1000" b="0" i="0" u="none" strike="noStrike" baseline="0">
              <a:solidFill>
                <a:srgbClr val="FF0000"/>
              </a:solidFill>
              <a:latin typeface="Arial"/>
              <a:cs typeface="Arial"/>
            </a:rPr>
            <a:t>(deleted from ACHE inventory 12-09)</a:t>
          </a:r>
        </a:p>
        <a:p>
          <a:pPr algn="l" rtl="0">
            <a:defRPr sz="1000"/>
          </a:pPr>
          <a:r>
            <a:rPr lang="en-US" sz="1000" b="0" i="0" u="none" strike="noStrike" baseline="0">
              <a:solidFill>
                <a:srgbClr val="000000"/>
              </a:solidFill>
              <a:latin typeface="Arial"/>
              <a:cs typeface="Arial"/>
            </a:rPr>
            <a:t>13.1101    Counselor Education</a:t>
          </a:r>
        </a:p>
        <a:p>
          <a:pPr algn="l" rtl="0">
            <a:defRPr sz="1000"/>
          </a:pPr>
          <a:r>
            <a:rPr lang="en-US" sz="1000" b="0" i="0" u="none" strike="noStrike" baseline="0">
              <a:solidFill>
                <a:srgbClr val="000000"/>
              </a:solidFill>
              <a:latin typeface="Arial"/>
              <a:cs typeface="Arial"/>
            </a:rPr>
            <a:t>13.1202    Elementary Education</a:t>
          </a:r>
        </a:p>
        <a:p>
          <a:pPr algn="l" rtl="0">
            <a:defRPr sz="1000"/>
          </a:pPr>
          <a:r>
            <a:rPr lang="en-US" sz="1000" b="0" i="0" u="none" strike="noStrike" baseline="0">
              <a:solidFill>
                <a:srgbClr val="000000"/>
              </a:solidFill>
              <a:latin typeface="Arial"/>
              <a:cs typeface="Arial"/>
            </a:rPr>
            <a:t>13.1205    Secondary Education</a:t>
          </a:r>
        </a:p>
        <a:p>
          <a:pPr algn="l" rtl="0">
            <a:defRPr sz="1000"/>
          </a:pPr>
          <a:r>
            <a:rPr lang="en-US" sz="1000" b="0" i="0" u="none" strike="noStrike" baseline="0">
              <a:solidFill>
                <a:srgbClr val="000000"/>
              </a:solidFill>
              <a:latin typeface="Arial"/>
              <a:cs typeface="Arial"/>
            </a:rPr>
            <a:t>13.1206    Teacher Education Multiple Level N-12</a:t>
          </a:r>
        </a:p>
        <a:p>
          <a:pPr algn="l" rtl="0">
            <a:defRPr sz="1000"/>
          </a:pPr>
          <a:r>
            <a:rPr lang="en-US" sz="1000" b="0" i="0" u="none" strike="noStrike" baseline="0">
              <a:solidFill>
                <a:srgbClr val="000000"/>
              </a:solidFill>
              <a:latin typeface="Arial"/>
              <a:cs typeface="Arial"/>
            </a:rPr>
            <a:t>16.0101    Foreign Language</a:t>
          </a:r>
        </a:p>
        <a:p>
          <a:pPr algn="l" rtl="0">
            <a:defRPr sz="1000"/>
          </a:pPr>
          <a:r>
            <a:rPr lang="en-US" sz="1000" b="0" i="0" u="none" strike="noStrike" baseline="0">
              <a:solidFill>
                <a:srgbClr val="000000"/>
              </a:solidFill>
              <a:latin typeface="Arial"/>
              <a:cs typeface="Arial"/>
            </a:rPr>
            <a:t>19.0101    Human Environmental Sciences</a:t>
          </a:r>
        </a:p>
        <a:p>
          <a:pPr algn="l" rtl="0">
            <a:defRPr sz="1000"/>
          </a:pPr>
          <a:r>
            <a:rPr lang="en-US" sz="1000" b="0" i="0" u="none" strike="noStrike" baseline="0">
              <a:solidFill>
                <a:srgbClr val="000000"/>
              </a:solidFill>
              <a:latin typeface="Arial"/>
              <a:cs typeface="Arial"/>
            </a:rPr>
            <a:t>23.0101    English Language and Literature</a:t>
          </a:r>
        </a:p>
        <a:p>
          <a:pPr algn="l" rtl="0">
            <a:defRPr sz="1000"/>
          </a:pPr>
          <a:r>
            <a:rPr lang="en-US" sz="1000" b="0" i="0" u="none" strike="noStrike" baseline="0">
              <a:solidFill>
                <a:srgbClr val="000000"/>
              </a:solidFill>
              <a:latin typeface="Arial"/>
              <a:cs typeface="Arial"/>
            </a:rPr>
            <a:t>26.0101    Biology</a:t>
          </a:r>
        </a:p>
        <a:p>
          <a:pPr algn="l" rtl="0">
            <a:defRPr sz="1000"/>
          </a:pPr>
          <a:r>
            <a:rPr lang="en-US" sz="1000" b="0" i="0" u="none" strike="noStrike" baseline="0">
              <a:solidFill>
                <a:srgbClr val="000000"/>
              </a:solidFill>
              <a:latin typeface="Arial"/>
              <a:cs typeface="Arial"/>
            </a:rPr>
            <a:t>26.1302    Marine Biology</a:t>
          </a:r>
        </a:p>
        <a:p>
          <a:pPr algn="l" rtl="0">
            <a:defRPr sz="1000"/>
          </a:pPr>
          <a:r>
            <a:rPr lang="en-US" sz="1000" b="0" i="0" u="none" strike="noStrike" baseline="0">
              <a:solidFill>
                <a:srgbClr val="000000"/>
              </a:solidFill>
              <a:latin typeface="Arial"/>
              <a:cs typeface="Arial"/>
            </a:rPr>
            <a:t>27.0101    Mathematics</a:t>
          </a:r>
        </a:p>
        <a:p>
          <a:pPr algn="l" rtl="0">
            <a:defRPr sz="1000"/>
          </a:pPr>
          <a:r>
            <a:rPr lang="en-US" sz="1000" b="0" i="0" u="none" strike="noStrike" baseline="0">
              <a:solidFill>
                <a:srgbClr val="000000"/>
              </a:solidFill>
              <a:latin typeface="Arial"/>
              <a:cs typeface="Arial"/>
            </a:rPr>
            <a:t>30.0000    Multi/Interdisciplinary Studies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31.9999    Parks, Recreation, Leisure, and Fitness Studies</a:t>
          </a:r>
        </a:p>
        <a:p>
          <a:pPr algn="l" rtl="0">
            <a:defRPr sz="1000"/>
          </a:pPr>
          <a:r>
            <a:rPr lang="en-US" sz="1000" b="0" i="0" u="none" strike="noStrike" baseline="0">
              <a:solidFill>
                <a:srgbClr val="000000"/>
              </a:solidFill>
              <a:latin typeface="Arial"/>
              <a:cs typeface="Arial"/>
            </a:rPr>
            <a:t>31.9999    Health &amp; Human Performance </a:t>
          </a:r>
          <a:r>
            <a:rPr lang="en-US" sz="1000" b="0" i="0" u="none" strike="noStrike" baseline="0">
              <a:solidFill>
                <a:srgbClr val="FF0000"/>
              </a:solidFill>
              <a:latin typeface="Arial"/>
              <a:cs typeface="Arial"/>
            </a:rPr>
            <a:t>(MS added in 2010)</a:t>
          </a:r>
        </a:p>
        <a:p>
          <a:pPr algn="l" rtl="0">
            <a:defRPr sz="1000"/>
          </a:pPr>
          <a:r>
            <a:rPr lang="en-US" sz="1000" b="0" i="0" u="none" strike="noStrike" baseline="0">
              <a:solidFill>
                <a:srgbClr val="000000"/>
              </a:solidFill>
              <a:latin typeface="Arial"/>
              <a:cs typeface="Arial"/>
            </a:rPr>
            <a:t>40.0501    Chemistry</a:t>
          </a:r>
        </a:p>
        <a:p>
          <a:pPr algn="l" rtl="0">
            <a:defRPr sz="1000"/>
          </a:pPr>
          <a:r>
            <a:rPr lang="en-US" sz="1000" b="0" i="0" u="none" strike="noStrike" baseline="0">
              <a:solidFill>
                <a:srgbClr val="000000"/>
              </a:solidFill>
              <a:latin typeface="Arial"/>
              <a:cs typeface="Arial"/>
            </a:rPr>
            <a:t>40.0801    Physics</a:t>
          </a:r>
        </a:p>
        <a:p>
          <a:pPr algn="l" rtl="0">
            <a:defRPr sz="1000"/>
          </a:pPr>
          <a:r>
            <a:rPr lang="en-US" sz="1000" b="0" i="0" u="none" strike="noStrike" baseline="0">
              <a:solidFill>
                <a:srgbClr val="000000"/>
              </a:solidFill>
              <a:latin typeface="Arial"/>
              <a:cs typeface="Arial"/>
            </a:rPr>
            <a:t>40.9999    Industrial Hygiene</a:t>
          </a:r>
        </a:p>
        <a:p>
          <a:pPr algn="l" rtl="0">
            <a:defRPr sz="1000"/>
          </a:pPr>
          <a:r>
            <a:rPr lang="en-US" sz="1000" b="0" i="0" u="none" strike="noStrike" baseline="0">
              <a:solidFill>
                <a:srgbClr val="000000"/>
              </a:solidFill>
              <a:latin typeface="Arial"/>
              <a:cs typeface="Arial"/>
            </a:rPr>
            <a:t>42.0101    Psychology</a:t>
          </a:r>
        </a:p>
        <a:p>
          <a:pPr algn="l" rtl="0">
            <a:defRPr sz="1000"/>
          </a:pPr>
          <a:r>
            <a:rPr lang="en-US" sz="1000" b="0" i="0" u="none" strike="noStrike" baseline="0">
              <a:solidFill>
                <a:srgbClr val="000000"/>
              </a:solidFill>
              <a:latin typeface="Arial"/>
              <a:cs typeface="Arial"/>
            </a:rPr>
            <a:t>42.2803    Community Counseling</a:t>
          </a:r>
        </a:p>
        <a:p>
          <a:pPr algn="l" rtl="0">
            <a:defRPr sz="1000"/>
          </a:pPr>
          <a:r>
            <a:rPr lang="en-US" sz="1000" b="0" i="0" u="none" strike="noStrike" baseline="0">
              <a:solidFill>
                <a:srgbClr val="000000"/>
              </a:solidFill>
              <a:latin typeface="Arial"/>
              <a:cs typeface="Arial"/>
            </a:rPr>
            <a:t>43.0103    Criminal Justice</a:t>
          </a:r>
        </a:p>
        <a:p>
          <a:pPr algn="l" rtl="0">
            <a:defRPr sz="1000"/>
          </a:pPr>
          <a:r>
            <a:rPr lang="en-US" sz="1000" b="0" i="0" u="none" strike="noStrike" baseline="0">
              <a:solidFill>
                <a:srgbClr val="000000"/>
              </a:solidFill>
              <a:latin typeface="Arial"/>
              <a:cs typeface="Arial"/>
            </a:rPr>
            <a:t>44.0701    Social Work</a:t>
          </a:r>
        </a:p>
        <a:p>
          <a:pPr algn="l" rtl="0">
            <a:defRPr sz="1000"/>
          </a:pPr>
          <a:r>
            <a:rPr lang="en-US" sz="1000" b="0" i="0" u="none" strike="noStrike" baseline="0">
              <a:solidFill>
                <a:srgbClr val="000000"/>
              </a:solidFill>
              <a:latin typeface="Arial"/>
              <a:cs typeface="Arial"/>
            </a:rPr>
            <a:t>45.0101    Social Sciences</a:t>
          </a:r>
        </a:p>
        <a:p>
          <a:pPr algn="l" rtl="0">
            <a:defRPr sz="1000"/>
          </a:pPr>
          <a:r>
            <a:rPr lang="en-US" sz="1000" b="0" i="0" u="none" strike="noStrike" baseline="0">
              <a:solidFill>
                <a:srgbClr val="000000"/>
              </a:solidFill>
              <a:latin typeface="Arial"/>
              <a:cs typeface="Arial"/>
            </a:rPr>
            <a:t>45.0701    Geography</a:t>
          </a:r>
        </a:p>
        <a:p>
          <a:pPr algn="l" rtl="0">
            <a:defRPr sz="1000"/>
          </a:pPr>
          <a:r>
            <a:rPr lang="en-US" sz="1000" b="0" i="0" u="none" strike="noStrike" baseline="0">
              <a:solidFill>
                <a:srgbClr val="000000"/>
              </a:solidFill>
              <a:latin typeface="Arial"/>
              <a:cs typeface="Arial"/>
            </a:rPr>
            <a:t>45.0799    Geography Other./Geospatial Sciences </a:t>
          </a:r>
          <a:r>
            <a:rPr lang="en-US" sz="1000" b="0" i="0" u="none" strike="noStrike" baseline="0">
              <a:solidFill>
                <a:srgbClr val="FF0000"/>
              </a:solidFill>
              <a:latin typeface="Arial"/>
              <a:cs typeface="Arial"/>
            </a:rPr>
            <a:t>(MS added in 2010)</a:t>
          </a:r>
        </a:p>
        <a:p>
          <a:pPr algn="l" rtl="0">
            <a:defRPr sz="1000"/>
          </a:pPr>
          <a:r>
            <a:rPr lang="en-US" sz="1000" b="0" i="0" u="none" strike="noStrike" baseline="0">
              <a:solidFill>
                <a:srgbClr val="000000"/>
              </a:solidFill>
              <a:latin typeface="Arial"/>
              <a:cs typeface="Arial"/>
            </a:rPr>
            <a:t>45.1001    Political Science</a:t>
          </a:r>
        </a:p>
        <a:p>
          <a:pPr algn="l" rtl="0">
            <a:defRPr sz="1000"/>
          </a:pPr>
          <a:r>
            <a:rPr lang="en-US" sz="1000" b="0" i="0" u="none" strike="noStrike" baseline="0">
              <a:solidFill>
                <a:srgbClr val="000000"/>
              </a:solidFill>
              <a:latin typeface="Arial"/>
              <a:cs typeface="Arial"/>
            </a:rPr>
            <a:t>45.1101    Sociology</a:t>
          </a:r>
        </a:p>
        <a:p>
          <a:pPr algn="l" rtl="0">
            <a:defRPr sz="1000"/>
          </a:pPr>
          <a:r>
            <a:rPr lang="en-US" sz="1000" b="0" i="0" u="none" strike="noStrike" baseline="0">
              <a:solidFill>
                <a:srgbClr val="000000"/>
              </a:solidFill>
              <a:latin typeface="Arial"/>
              <a:cs typeface="Arial"/>
            </a:rPr>
            <a:t>50.0701    Art</a:t>
          </a:r>
        </a:p>
        <a:p>
          <a:pPr algn="l" rtl="0">
            <a:defRPr sz="1000"/>
          </a:pPr>
          <a:r>
            <a:rPr lang="en-US" sz="1000" b="0" i="0" u="none" strike="noStrike" baseline="0">
              <a:solidFill>
                <a:srgbClr val="000000"/>
              </a:solidFill>
              <a:latin typeface="Arial"/>
              <a:cs typeface="Arial"/>
            </a:rPr>
            <a:t>50.0901    Music</a:t>
          </a:r>
        </a:p>
        <a:p>
          <a:pPr algn="l" rtl="0">
            <a:defRPr sz="1000"/>
          </a:pPr>
          <a:r>
            <a:rPr lang="en-US" sz="1000" b="0" i="0" u="none" strike="noStrike" baseline="0">
              <a:solidFill>
                <a:srgbClr val="000000"/>
              </a:solidFill>
              <a:latin typeface="Arial"/>
              <a:cs typeface="Arial"/>
            </a:rPr>
            <a:t>50.1001   Music Management &amp; Merchandising - Entertainment Industry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51.3801    Nursing</a:t>
          </a:r>
        </a:p>
        <a:p>
          <a:pPr algn="l" rtl="0">
            <a:defRPr sz="1000"/>
          </a:pPr>
          <a:r>
            <a:rPr lang="en-US" sz="1000" b="0" i="0" u="none" strike="noStrike" baseline="0">
              <a:solidFill>
                <a:srgbClr val="000000"/>
              </a:solidFill>
              <a:latin typeface="Arial"/>
              <a:cs typeface="Arial"/>
            </a:rPr>
            <a:t>52.0201    Business Administration</a:t>
          </a:r>
        </a:p>
        <a:p>
          <a:pPr algn="l" rtl="0">
            <a:defRPr sz="1000"/>
          </a:pPr>
          <a:r>
            <a:rPr lang="en-US" sz="1000" b="0" i="0" u="none" strike="noStrike" baseline="0">
              <a:solidFill>
                <a:srgbClr val="000000"/>
              </a:solidFill>
              <a:latin typeface="Arial"/>
              <a:cs typeface="Arial"/>
            </a:rPr>
            <a:t>52.0301    Accounting</a:t>
          </a:r>
        </a:p>
        <a:p>
          <a:pPr algn="l" rtl="0">
            <a:defRPr sz="1000"/>
          </a:pPr>
          <a:r>
            <a:rPr lang="en-US" sz="1000" b="0" i="0" u="none" strike="noStrike" baseline="0">
              <a:solidFill>
                <a:srgbClr val="000000"/>
              </a:solidFill>
              <a:latin typeface="Arial"/>
              <a:cs typeface="Arial"/>
            </a:rPr>
            <a:t>52.0601    Economics</a:t>
          </a:r>
        </a:p>
        <a:p>
          <a:pPr algn="l" rtl="0">
            <a:defRPr sz="1000"/>
          </a:pPr>
          <a:r>
            <a:rPr lang="en-US" sz="1000" b="0" i="0" u="none" strike="noStrike" baseline="0">
              <a:solidFill>
                <a:srgbClr val="000000"/>
              </a:solidFill>
              <a:latin typeface="Arial"/>
              <a:cs typeface="Arial"/>
            </a:rPr>
            <a:t>52.0801    Finance</a:t>
          </a:r>
        </a:p>
        <a:p>
          <a:pPr algn="l" rtl="0">
            <a:defRPr sz="1000"/>
          </a:pPr>
          <a:r>
            <a:rPr lang="en-US" sz="1000" b="0" i="0" u="none" strike="noStrike" baseline="0">
              <a:solidFill>
                <a:srgbClr val="000000"/>
              </a:solidFill>
              <a:latin typeface="Arial"/>
              <a:cs typeface="Arial"/>
            </a:rPr>
            <a:t>52.1201    Computer Information Systems</a:t>
          </a:r>
        </a:p>
        <a:p>
          <a:pPr algn="l" rtl="0">
            <a:defRPr sz="1000"/>
          </a:pPr>
          <a:r>
            <a:rPr lang="en-US" sz="1000" b="0" i="0" u="none" strike="noStrike" baseline="0">
              <a:solidFill>
                <a:srgbClr val="000000"/>
              </a:solidFill>
              <a:latin typeface="Arial"/>
              <a:cs typeface="Arial"/>
            </a:rPr>
            <a:t>52.1401    Marketing</a:t>
          </a:r>
        </a:p>
        <a:p>
          <a:pPr algn="l" rtl="0">
            <a:defRPr sz="1000"/>
          </a:pPr>
          <a:r>
            <a:rPr lang="en-US" sz="1000" b="0" i="0" u="none" strike="noStrike" baseline="0">
              <a:solidFill>
                <a:srgbClr val="000000"/>
              </a:solidFill>
              <a:latin typeface="Arial"/>
              <a:cs typeface="Arial"/>
            </a:rPr>
            <a:t>54.0101    History</a:t>
          </a:r>
        </a:p>
        <a:p>
          <a:pPr algn="l" rtl="0">
            <a:defRPr sz="1000"/>
          </a:pPr>
          <a:r>
            <a:rPr lang="en-US" sz="1000" b="0" i="0" u="none" strike="noStrike" baseline="0">
              <a:solidFill>
                <a:srgbClr val="000000"/>
              </a:solidFill>
              <a:latin typeface="Arial"/>
              <a:cs typeface="Arial"/>
            </a:rPr>
            <a:t>                                   </a:t>
          </a:r>
        </a:p>
        <a:p>
          <a:pPr algn="l" rtl="0">
            <a:defRPr sz="1000"/>
          </a:pPr>
          <a:endParaRPr lang="en-US" sz="1000" b="1" i="0" u="sng" strike="noStrike" baseline="0">
            <a:solidFill>
              <a:srgbClr val="000000"/>
            </a:solidFill>
            <a:latin typeface="Arial"/>
            <a:cs typeface="Arial"/>
          </a:endParaRPr>
        </a:p>
        <a:p>
          <a:pPr algn="l" rtl="0">
            <a:defRPr sz="1000"/>
          </a:pPr>
          <a:r>
            <a:rPr lang="en-US" sz="1000" b="1" i="0" u="sng" strike="noStrike" baseline="0">
              <a:solidFill>
                <a:srgbClr val="000000"/>
              </a:solidFill>
              <a:latin typeface="Arial"/>
              <a:cs typeface="Arial"/>
            </a:rPr>
            <a:t>Additional notes pertaining to sections within each department tab:</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3: Majors/Degrees Conferred Ratio </a:t>
          </a:r>
        </a:p>
        <a:p>
          <a:pPr algn="l" rtl="0">
            <a:defRPr sz="1000"/>
          </a:pPr>
          <a:r>
            <a:rPr lang="en-US" sz="1000" b="0" i="0" u="none" strike="noStrike" baseline="0">
              <a:solidFill>
                <a:srgbClr val="000000"/>
              </a:solidFill>
              <a:latin typeface="Arial"/>
              <a:cs typeface="Arial"/>
            </a:rPr>
            <a:t>  - This ratio equals the number of declared majors divided by the number of degrees conferred for the same fiscal year.</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5: Average Class Size (Classes of 6 or more students)</a:t>
          </a:r>
        </a:p>
        <a:p>
          <a:pPr algn="l" rtl="0">
            <a:defRPr sz="1000"/>
          </a:pPr>
          <a:r>
            <a:rPr lang="en-US" sz="1000" b="0" i="0" u="none" strike="noStrike" baseline="0">
              <a:solidFill>
                <a:srgbClr val="000000"/>
              </a:solidFill>
              <a:latin typeface="Arial"/>
              <a:cs typeface="Arial"/>
            </a:rPr>
            <a:t> - Only class sections with 6 or more students enrolled were included in analyses.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6: Number of Faculty (Fall Semester)</a:t>
          </a:r>
        </a:p>
        <a:p>
          <a:pPr algn="l" rtl="0">
            <a:defRPr sz="1000"/>
          </a:pPr>
          <a:r>
            <a:rPr lang="en-US" sz="1000" b="0" i="0" u="none" strike="noStrike" baseline="0">
              <a:solidFill>
                <a:srgbClr val="000000"/>
              </a:solidFill>
              <a:latin typeface="Arial"/>
              <a:cs typeface="Arial"/>
            </a:rPr>
            <a:t> - FTE Faculty  equals the total number of Full-time Faculty plus one-third the number of Part-time Faculty (Fall Semester).</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7: FTE Student/FTE Faculty Ratio</a:t>
          </a:r>
        </a:p>
        <a:p>
          <a:pPr algn="l" rtl="0">
            <a:defRPr sz="1000"/>
          </a:pPr>
          <a:r>
            <a:rPr lang="en-US" sz="1000" b="0" i="0" u="none" strike="noStrike" baseline="0">
              <a:solidFill>
                <a:srgbClr val="000000"/>
              </a:solidFill>
              <a:latin typeface="Arial"/>
              <a:cs typeface="Arial"/>
            </a:rPr>
            <a:t> - This ratio equals the number of FTE Students divided by the number of FTE Faculty (from section 6)</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8: Credit Hours/FTE Faculty Ratio</a:t>
          </a:r>
        </a:p>
        <a:p>
          <a:pPr algn="l" rtl="0">
            <a:defRPr sz="1000"/>
          </a:pPr>
          <a:r>
            <a:rPr lang="en-US" sz="1000" b="0" i="0" u="none" strike="noStrike" baseline="0">
              <a:solidFill>
                <a:srgbClr val="000000"/>
              </a:solidFill>
              <a:latin typeface="Arial"/>
              <a:cs typeface="Arial"/>
            </a:rPr>
            <a:t> - This ratio  equals the total number of credit hours produced by a department divided by the total FTE Faculty (from section 6) of a department.</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9: Department Expenditures (including Actual Personnel and Non-Personnel)</a:t>
          </a:r>
        </a:p>
        <a:p>
          <a:pPr algn="l" rtl="0">
            <a:defRPr sz="1000"/>
          </a:pPr>
          <a:r>
            <a:rPr lang="en-US" sz="1000" b="0" i="0" u="none" strike="noStrike" baseline="0">
              <a:solidFill>
                <a:srgbClr val="000000"/>
              </a:solidFill>
              <a:latin typeface="Arial"/>
              <a:cs typeface="Arial"/>
            </a:rPr>
            <a:t> - Actual expenditure data was provided by Office of Vice President of Financial Affairs. Does not include Summer School.</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10:  Cost Per Credit Hour (Total Department Expenditures/Total Credit Hours)</a:t>
          </a:r>
        </a:p>
        <a:p>
          <a:pPr algn="l" rtl="0">
            <a:defRPr sz="1000"/>
          </a:pPr>
          <a:r>
            <a:rPr lang="en-US" sz="1000" b="0" i="0" u="none" strike="noStrike" baseline="0">
              <a:solidFill>
                <a:srgbClr val="000000"/>
              </a:solidFill>
              <a:latin typeface="Arial"/>
              <a:cs typeface="Arial"/>
            </a:rPr>
            <a:t> - The Cost per Credit Hour is equal to the Total Departmental Expenditure (from section 9) divided by the total number of credit hours producted during         an academic year (from section 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6"/>
    <pageSetUpPr fitToPage="1"/>
  </sheetPr>
  <dimension ref="F26"/>
  <sheetViews>
    <sheetView zoomScaleNormal="100" zoomScaleSheetLayoutView="100" workbookViewId="0">
      <selection activeCell="C22" sqref="C22"/>
    </sheetView>
  </sheetViews>
  <sheetFormatPr defaultRowHeight="12.75" x14ac:dyDescent="0.2"/>
  <cols>
    <col min="1" max="1" width="130.5703125" style="61" customWidth="1"/>
    <col min="2" max="16384" width="9.140625" style="61"/>
  </cols>
  <sheetData>
    <row r="26" spans="6:6" x14ac:dyDescent="0.2">
      <c r="F26" s="61" t="s">
        <v>45</v>
      </c>
    </row>
  </sheetData>
  <phoneticPr fontId="2" type="noConversion"/>
  <printOptions horizontalCentered="1"/>
  <pageMargins left="0.75" right="0.75" top="0.5" bottom="0.5" header="0.5" footer="0.5"/>
  <pageSetup scale="69" orientation="portrait" r:id="rId1"/>
  <headerFooter alignWithMargins="0">
    <oddFooter>&amp;R&amp;8Prepared by:  OIRPA (kr)
&amp;F  &amp;A
1-4-10</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62" t="s">
        <v>39</v>
      </c>
      <c r="C6" s="164"/>
      <c r="D6" s="164"/>
      <c r="E6" s="165"/>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8"/>
      <c r="C12" s="3"/>
      <c r="D12" s="3"/>
      <c r="E12" s="62"/>
      <c r="F12" s="3"/>
      <c r="G12" s="110"/>
    </row>
    <row r="13" spans="1:8" x14ac:dyDescent="0.2">
      <c r="A13" s="87" t="s">
        <v>3</v>
      </c>
      <c r="B13" s="3">
        <v>476</v>
      </c>
      <c r="C13" s="3">
        <v>467</v>
      </c>
      <c r="D13" s="62">
        <v>480</v>
      </c>
      <c r="E13" s="3">
        <f>233+137</f>
        <v>370</v>
      </c>
      <c r="F13" s="3">
        <v>349</v>
      </c>
      <c r="G13" s="110">
        <f>AVERAGE(B13:F13)</f>
        <v>428.4</v>
      </c>
    </row>
    <row r="14" spans="1:8" x14ac:dyDescent="0.2">
      <c r="A14" s="87" t="s">
        <v>4</v>
      </c>
      <c r="B14" s="3">
        <v>39</v>
      </c>
      <c r="C14" s="3">
        <v>51</v>
      </c>
      <c r="D14" s="62">
        <v>64</v>
      </c>
      <c r="E14" s="3">
        <f>41</f>
        <v>41</v>
      </c>
      <c r="F14" s="3">
        <v>38</v>
      </c>
      <c r="G14" s="110">
        <f>AVERAGE(B14:F14)</f>
        <v>46.6</v>
      </c>
    </row>
    <row r="15" spans="1:8" x14ac:dyDescent="0.2">
      <c r="A15" s="87" t="s">
        <v>5</v>
      </c>
      <c r="B15" s="8">
        <f>SUM(B13:B14)</f>
        <v>515</v>
      </c>
      <c r="C15" s="3">
        <f>SUM(C13:C14)</f>
        <v>518</v>
      </c>
      <c r="D15" s="3">
        <f>SUM(D13:D14)</f>
        <v>544</v>
      </c>
      <c r="E15" s="62">
        <f>SUM(E13:E14)</f>
        <v>411</v>
      </c>
      <c r="F15" s="62">
        <f>SUM(F13:F14)</f>
        <v>387</v>
      </c>
      <c r="G15" s="94">
        <f>AVERAGE(B15:F15)</f>
        <v>475</v>
      </c>
    </row>
    <row r="16" spans="1:8" x14ac:dyDescent="0.2">
      <c r="A16" s="111" t="s">
        <v>61</v>
      </c>
      <c r="B16" s="20">
        <f>B13+(B14/3)</f>
        <v>489</v>
      </c>
      <c r="C16" s="9">
        <f>C13+(C14/3)</f>
        <v>484</v>
      </c>
      <c r="D16" s="9">
        <f>D13+(D14/3)</f>
        <v>501.33333333333331</v>
      </c>
      <c r="E16" s="63">
        <f>E13+(E14/3)</f>
        <v>383.66666666666669</v>
      </c>
      <c r="F16" s="63">
        <f>F13+(F14/3)</f>
        <v>361.66666666666669</v>
      </c>
      <c r="G16" s="94">
        <f>AVERAGE(B16:F16)</f>
        <v>443.93333333333328</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8">
        <v>87</v>
      </c>
      <c r="C22" s="8">
        <v>78</v>
      </c>
      <c r="D22" s="64">
        <v>77</v>
      </c>
      <c r="E22" s="3">
        <v>62</v>
      </c>
      <c r="F22" s="3">
        <v>68</v>
      </c>
      <c r="G22" s="110">
        <f>AVERAGE(B22:F22)</f>
        <v>74.400000000000006</v>
      </c>
    </row>
    <row r="23" spans="1:8" x14ac:dyDescent="0.2">
      <c r="A23" s="87" t="s">
        <v>4</v>
      </c>
      <c r="B23" s="8">
        <v>137</v>
      </c>
      <c r="C23" s="8">
        <v>142</v>
      </c>
      <c r="D23" s="64">
        <v>100</v>
      </c>
      <c r="E23" s="3">
        <v>76</v>
      </c>
      <c r="F23" s="3">
        <v>121</v>
      </c>
      <c r="G23" s="110">
        <f>AVERAGE(B23:F23)</f>
        <v>115.2</v>
      </c>
    </row>
    <row r="24" spans="1:8" x14ac:dyDescent="0.2">
      <c r="A24" s="87" t="s">
        <v>5</v>
      </c>
      <c r="B24" s="8">
        <f>SUM(B22:B23)</f>
        <v>224</v>
      </c>
      <c r="C24" s="8">
        <f>SUM(C22:C23)</f>
        <v>220</v>
      </c>
      <c r="D24" s="8">
        <f>SUM(D22:D23)</f>
        <v>177</v>
      </c>
      <c r="E24" s="64">
        <f>SUM(E22:E23)</f>
        <v>138</v>
      </c>
      <c r="F24" s="8">
        <f>SUM(F22:F23)</f>
        <v>189</v>
      </c>
      <c r="G24" s="110">
        <f>AVERAGE(B24:F24)</f>
        <v>189.6</v>
      </c>
    </row>
    <row r="25" spans="1:8" ht="13.5" thickBot="1" x14ac:dyDescent="0.25">
      <c r="A25" s="95" t="s">
        <v>61</v>
      </c>
      <c r="B25" s="136">
        <f>B22+(B23/3)</f>
        <v>132.66666666666666</v>
      </c>
      <c r="C25" s="136">
        <f>C22+(C23/3)</f>
        <v>125.33333333333334</v>
      </c>
      <c r="D25" s="136">
        <f>D22+(D23/3)</f>
        <v>110.33333333333334</v>
      </c>
      <c r="E25" s="137">
        <f>E22+(E23/3)</f>
        <v>87.333333333333329</v>
      </c>
      <c r="F25" s="136">
        <f>F22+(F23/3)</f>
        <v>108.33333333333334</v>
      </c>
      <c r="G25" s="114">
        <f>AVERAGE(B25:F25)</f>
        <v>112.8</v>
      </c>
    </row>
    <row r="26" spans="1:8" x14ac:dyDescent="0.2">
      <c r="A26" s="5"/>
      <c r="B26" s="5"/>
      <c r="C26" s="5"/>
      <c r="D26" s="5"/>
      <c r="E26" s="5"/>
      <c r="F26" s="5"/>
      <c r="G26" s="7"/>
      <c r="H26" s="5"/>
    </row>
    <row r="27" spans="1:8" x14ac:dyDescent="0.2">
      <c r="A27" s="5"/>
      <c r="B27" s="19"/>
      <c r="C27" s="19"/>
      <c r="D27" s="19"/>
      <c r="E27" s="19"/>
      <c r="F27" s="19"/>
    </row>
    <row r="28" spans="1:8" ht="13.5" thickBot="1" x14ac:dyDescent="0.25">
      <c r="B28" s="19"/>
      <c r="C28" s="19"/>
      <c r="D28" s="19"/>
      <c r="E28" s="19"/>
      <c r="F28" s="19"/>
    </row>
    <row r="29" spans="1:8" x14ac:dyDescent="0.2">
      <c r="A29" s="88" t="s">
        <v>25</v>
      </c>
      <c r="B29" s="89"/>
      <c r="C29" s="89"/>
      <c r="D29" s="89"/>
      <c r="E29" s="89"/>
      <c r="F29" s="89"/>
      <c r="G29" s="90"/>
    </row>
    <row r="30" spans="1:8" x14ac:dyDescent="0.2">
      <c r="A30" s="91"/>
      <c r="B30" s="5"/>
      <c r="C30" s="5"/>
      <c r="D30" s="5"/>
      <c r="E30" s="5"/>
      <c r="F30" s="5"/>
      <c r="G30" s="92"/>
    </row>
    <row r="31" spans="1:8" x14ac:dyDescent="0.2">
      <c r="A31" s="93" t="s">
        <v>0</v>
      </c>
      <c r="B31" s="139" t="s">
        <v>66</v>
      </c>
      <c r="C31" s="139" t="s">
        <v>68</v>
      </c>
      <c r="D31" s="139" t="s">
        <v>70</v>
      </c>
      <c r="E31" s="139" t="s">
        <v>76</v>
      </c>
      <c r="F31" s="139" t="s">
        <v>77</v>
      </c>
      <c r="G31" s="140" t="s">
        <v>1</v>
      </c>
    </row>
    <row r="32" spans="1:8" ht="25.5" x14ac:dyDescent="0.2">
      <c r="A32" s="107" t="s">
        <v>7</v>
      </c>
      <c r="B32" s="8">
        <v>51</v>
      </c>
      <c r="C32" s="8">
        <v>37</v>
      </c>
      <c r="D32" s="8">
        <v>54</v>
      </c>
      <c r="E32" s="3">
        <v>52</v>
      </c>
      <c r="F32" s="3">
        <v>64</v>
      </c>
      <c r="G32" s="94">
        <f>AVERAGE(B32:F32)</f>
        <v>51.6</v>
      </c>
    </row>
    <row r="33" spans="1:8" x14ac:dyDescent="0.2">
      <c r="A33" s="91"/>
      <c r="B33" s="5"/>
      <c r="C33" s="5"/>
      <c r="D33" s="5"/>
      <c r="E33" s="7"/>
      <c r="F33" s="7"/>
      <c r="G33" s="92"/>
    </row>
    <row r="34" spans="1:8" x14ac:dyDescent="0.2">
      <c r="A34" s="91"/>
      <c r="B34" s="5"/>
      <c r="C34" s="5"/>
      <c r="D34" s="5"/>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19">
        <v>38</v>
      </c>
      <c r="C36" s="119">
        <v>37</v>
      </c>
      <c r="D36" s="119">
        <v>45</v>
      </c>
      <c r="E36" s="104">
        <v>42</v>
      </c>
      <c r="F36" s="104">
        <v>62</v>
      </c>
      <c r="G36" s="97">
        <f>AVERAGE(B36:F36)</f>
        <v>44.8</v>
      </c>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10.098039215686274</v>
      </c>
      <c r="C42" s="9">
        <f>C15/C32</f>
        <v>14</v>
      </c>
      <c r="D42" s="9">
        <f>D15/D32</f>
        <v>10.074074074074074</v>
      </c>
      <c r="E42" s="9">
        <f>E15/E32</f>
        <v>7.9038461538461542</v>
      </c>
      <c r="F42" s="9">
        <f>F15/F32</f>
        <v>6.046875</v>
      </c>
      <c r="G42" s="94">
        <f>AVERAGE(B42:F42)</f>
        <v>9.6245668887213007</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f>B24/B36</f>
        <v>5.8947368421052628</v>
      </c>
      <c r="C46" s="96">
        <f>C24/C36</f>
        <v>5.9459459459459456</v>
      </c>
      <c r="D46" s="96">
        <f>D24/D36</f>
        <v>3.9333333333333331</v>
      </c>
      <c r="E46" s="96">
        <f>E24/E36</f>
        <v>3.2857142857142856</v>
      </c>
      <c r="F46" s="96">
        <f>F24/F36</f>
        <v>3.0483870967741935</v>
      </c>
      <c r="G46" s="97">
        <f>AVERAGE(B46:F46)</f>
        <v>4.4216235007746034</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5023</v>
      </c>
      <c r="C54" s="10">
        <v>4683</v>
      </c>
      <c r="D54" s="10">
        <v>4805</v>
      </c>
      <c r="E54" s="10">
        <v>4259</v>
      </c>
      <c r="F54" s="10">
        <v>3767</v>
      </c>
      <c r="G54" s="103">
        <f>AVERAGE(B54:F54)</f>
        <v>4507.3999999999996</v>
      </c>
    </row>
    <row r="55" spans="1:7" x14ac:dyDescent="0.2">
      <c r="A55" s="87" t="s">
        <v>12</v>
      </c>
      <c r="B55" s="10">
        <v>1754</v>
      </c>
      <c r="C55" s="10">
        <v>2266</v>
      </c>
      <c r="D55" s="10">
        <v>1938</v>
      </c>
      <c r="E55" s="10">
        <v>1865</v>
      </c>
      <c r="F55" s="10">
        <v>2403</v>
      </c>
      <c r="G55" s="103">
        <f>AVERAGE(B55:F55)</f>
        <v>2045.2</v>
      </c>
    </row>
    <row r="56" spans="1:7" ht="13.5" thickBot="1" x14ac:dyDescent="0.25">
      <c r="A56" s="98" t="s">
        <v>5</v>
      </c>
      <c r="B56" s="106">
        <f>SUM(B54:B55)</f>
        <v>6777</v>
      </c>
      <c r="C56" s="106">
        <f>SUM(C54:C55)</f>
        <v>6949</v>
      </c>
      <c r="D56" s="106">
        <f>SUM(D54:D55)</f>
        <v>6743</v>
      </c>
      <c r="E56" s="106">
        <f>SUM(E54:E55)</f>
        <v>6124</v>
      </c>
      <c r="F56" s="106">
        <f>SUM(F54:F55)</f>
        <v>6170</v>
      </c>
      <c r="G56" s="105">
        <f>AVERAGE(B56:F56)</f>
        <v>6552.6</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22.6</v>
      </c>
      <c r="C62" s="47">
        <v>24</v>
      </c>
      <c r="D62" s="47">
        <v>22.3</v>
      </c>
      <c r="E62" s="86">
        <v>21.3</v>
      </c>
      <c r="F62" s="86">
        <v>18.600000000000001</v>
      </c>
      <c r="G62" s="94">
        <f>AVERAGE(B62:F62)</f>
        <v>21.76</v>
      </c>
    </row>
    <row r="63" spans="1:7" ht="13.5" thickBot="1" x14ac:dyDescent="0.25">
      <c r="A63" s="98" t="s">
        <v>12</v>
      </c>
      <c r="B63" s="104">
        <v>15.9</v>
      </c>
      <c r="C63" s="104">
        <v>21.5</v>
      </c>
      <c r="D63" s="104">
        <v>14.9</v>
      </c>
      <c r="E63" s="104">
        <v>15.1</v>
      </c>
      <c r="F63" s="104">
        <v>15.9</v>
      </c>
      <c r="G63" s="97">
        <f>AVERAGE(B63:F63)</f>
        <v>16.66</v>
      </c>
    </row>
    <row r="64" spans="1:7" x14ac:dyDescent="0.2">
      <c r="A64" s="14"/>
    </row>
    <row r="65" spans="1:7" x14ac:dyDescent="0.2">
      <c r="A65"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11</v>
      </c>
      <c r="C70" s="3">
        <v>10</v>
      </c>
      <c r="D70" s="3">
        <v>10</v>
      </c>
      <c r="E70" s="3">
        <v>9</v>
      </c>
      <c r="F70" s="3">
        <v>9</v>
      </c>
      <c r="G70" s="94">
        <f>AVERAGE(B70:F70)</f>
        <v>9.8000000000000007</v>
      </c>
    </row>
    <row r="71" spans="1:7" x14ac:dyDescent="0.2">
      <c r="A71" s="87" t="s">
        <v>4</v>
      </c>
      <c r="B71" s="3">
        <v>5</v>
      </c>
      <c r="C71" s="3">
        <v>6</v>
      </c>
      <c r="D71" s="3">
        <v>5</v>
      </c>
      <c r="E71" s="3">
        <v>3</v>
      </c>
      <c r="F71" s="3">
        <v>6</v>
      </c>
      <c r="G71" s="94">
        <f>AVERAGE(B71:F71)</f>
        <v>5</v>
      </c>
    </row>
    <row r="72" spans="1:7" x14ac:dyDescent="0.2">
      <c r="A72" s="87" t="s">
        <v>5</v>
      </c>
      <c r="B72" s="3">
        <f>SUM(B70:B71)</f>
        <v>16</v>
      </c>
      <c r="C72" s="3">
        <f>SUM(C70:C71)</f>
        <v>16</v>
      </c>
      <c r="D72" s="3">
        <f>SUM(D70:D71)</f>
        <v>15</v>
      </c>
      <c r="E72" s="3">
        <f>SUM(E70:E71)</f>
        <v>12</v>
      </c>
      <c r="F72" s="3">
        <f>SUM(F70:F71)</f>
        <v>15</v>
      </c>
      <c r="G72" s="94">
        <f>AVERAGE(B72:F72)</f>
        <v>14.8</v>
      </c>
    </row>
    <row r="73" spans="1:7" ht="13.5" thickBot="1" x14ac:dyDescent="0.25">
      <c r="A73" s="95" t="s">
        <v>62</v>
      </c>
      <c r="B73" s="96">
        <f>B70+(B71/3)</f>
        <v>12.666666666666666</v>
      </c>
      <c r="C73" s="96">
        <f>C70+(C71/3)</f>
        <v>12</v>
      </c>
      <c r="D73" s="96">
        <f>D70+(D71/3)</f>
        <v>11.666666666666666</v>
      </c>
      <c r="E73" s="96">
        <f>E70+(E71/3)</f>
        <v>10</v>
      </c>
      <c r="F73" s="96">
        <f>F70+(F71/3)</f>
        <v>11</v>
      </c>
      <c r="G73" s="97">
        <f>AVERAGE(B73:F73)</f>
        <v>11.466666666666665</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49.078947368421055</v>
      </c>
      <c r="C80" s="96">
        <f>(C16+C25)/C73</f>
        <v>50.777777777777779</v>
      </c>
      <c r="D80" s="96">
        <f>(D16+D25)/D73</f>
        <v>52.428571428571431</v>
      </c>
      <c r="E80" s="96">
        <f>(E16+E25)/E73</f>
        <v>47.1</v>
      </c>
      <c r="F80" s="96">
        <f>(F16+F25)/F73</f>
        <v>42.727272727272727</v>
      </c>
      <c r="G80" s="97">
        <f>AVERAGE(B80:F80)</f>
        <v>48.422513860408593</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535.02631578947376</v>
      </c>
      <c r="C85" s="96">
        <f>C56/C73</f>
        <v>579.08333333333337</v>
      </c>
      <c r="D85" s="96">
        <f>D56/D73</f>
        <v>577.97142857142865</v>
      </c>
      <c r="E85" s="96">
        <f>E56/E73</f>
        <v>612.4</v>
      </c>
      <c r="F85" s="96">
        <f>F56/F73</f>
        <v>560.90909090909088</v>
      </c>
      <c r="G85" s="97">
        <f>AVERAGE(B85:F85)</f>
        <v>573.07803372066542</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v>1087895</v>
      </c>
      <c r="C90" s="100">
        <v>1081507</v>
      </c>
      <c r="D90" s="100">
        <v>1111008.18</v>
      </c>
      <c r="E90" s="100">
        <f>987731.61+7720.77</f>
        <v>995452.38</v>
      </c>
      <c r="F90" s="104"/>
      <c r="G90" s="101">
        <f>AVERAGE(B90:E90)</f>
        <v>1068965.6399999999</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160.52751955142392</v>
      </c>
      <c r="C95" s="102">
        <f>C90/C56</f>
        <v>155.63491149805728</v>
      </c>
      <c r="D95" s="102">
        <f>D90/D56</f>
        <v>164.76467151119678</v>
      </c>
      <c r="E95" s="102">
        <f>E90/E56</f>
        <v>162.54937622468975</v>
      </c>
      <c r="F95" s="102">
        <f>F90/F56</f>
        <v>0</v>
      </c>
      <c r="G95" s="101">
        <f>AVERAGE(B95:F95)</f>
        <v>128.69529575707355</v>
      </c>
    </row>
  </sheetData>
  <mergeCells count="4">
    <mergeCell ref="A1:G1"/>
    <mergeCell ref="A2:G2"/>
    <mergeCell ref="A4:G4"/>
    <mergeCell ref="B6:E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43" t="s">
        <v>18</v>
      </c>
      <c r="C6" s="142"/>
      <c r="D6" s="142"/>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s="2" customFormat="1" x14ac:dyDescent="0.2">
      <c r="A11" s="93" t="s">
        <v>0</v>
      </c>
      <c r="B11" s="139" t="s">
        <v>66</v>
      </c>
      <c r="C11" s="139" t="s">
        <v>68</v>
      </c>
      <c r="D11" s="139" t="s">
        <v>70</v>
      </c>
      <c r="E11" s="139" t="s">
        <v>76</v>
      </c>
      <c r="F11" s="139" t="s">
        <v>77</v>
      </c>
      <c r="G11" s="140" t="s">
        <v>1</v>
      </c>
      <c r="H11" s="19"/>
    </row>
    <row r="12" spans="1:8" x14ac:dyDescent="0.2">
      <c r="A12" s="87" t="s">
        <v>2</v>
      </c>
      <c r="B12" s="3"/>
      <c r="C12" s="3"/>
      <c r="D12" s="3"/>
      <c r="E12" s="62"/>
      <c r="F12" s="3"/>
      <c r="G12" s="109"/>
    </row>
    <row r="13" spans="1:8" x14ac:dyDescent="0.2">
      <c r="A13" s="87" t="s">
        <v>3</v>
      </c>
      <c r="B13" s="3">
        <v>123</v>
      </c>
      <c r="C13" s="3">
        <v>121</v>
      </c>
      <c r="D13" s="62">
        <v>118</v>
      </c>
      <c r="E13" s="3">
        <v>105</v>
      </c>
      <c r="F13" s="3">
        <v>87</v>
      </c>
      <c r="G13" s="110">
        <f>AVERAGE(B13:F13)</f>
        <v>110.8</v>
      </c>
    </row>
    <row r="14" spans="1:8" x14ac:dyDescent="0.2">
      <c r="A14" s="87" t="s">
        <v>4</v>
      </c>
      <c r="B14" s="3">
        <v>24</v>
      </c>
      <c r="C14" s="3">
        <v>25</v>
      </c>
      <c r="D14" s="62">
        <v>22</v>
      </c>
      <c r="E14" s="3">
        <v>15</v>
      </c>
      <c r="F14" s="3">
        <v>23</v>
      </c>
      <c r="G14" s="110">
        <f>AVERAGE(B14:F14)</f>
        <v>21.8</v>
      </c>
    </row>
    <row r="15" spans="1:8" x14ac:dyDescent="0.2">
      <c r="A15" s="87" t="s">
        <v>5</v>
      </c>
      <c r="B15" s="3">
        <f>SUM(B13:B14)</f>
        <v>147</v>
      </c>
      <c r="C15" s="3">
        <f>SUM(C13:C14)</f>
        <v>146</v>
      </c>
      <c r="D15" s="3">
        <f>SUM(D13:D14)</f>
        <v>140</v>
      </c>
      <c r="E15" s="62">
        <f>SUM(E13:E14)</f>
        <v>120</v>
      </c>
      <c r="F15" s="62">
        <f>SUM(F13:F14)</f>
        <v>110</v>
      </c>
      <c r="G15" s="94">
        <f>AVERAGE(B15:F15)</f>
        <v>132.6</v>
      </c>
    </row>
    <row r="16" spans="1:8" x14ac:dyDescent="0.2">
      <c r="A16" s="111" t="s">
        <v>61</v>
      </c>
      <c r="B16" s="9">
        <f>B13+(B14/3)</f>
        <v>131</v>
      </c>
      <c r="C16" s="9">
        <f>C13+(C14/3)</f>
        <v>129.33333333333334</v>
      </c>
      <c r="D16" s="9">
        <f>D13+(D14/3)</f>
        <v>125.33333333333333</v>
      </c>
      <c r="E16" s="63">
        <f>E13+(E14/3)</f>
        <v>110</v>
      </c>
      <c r="F16" s="63">
        <f>F13+(F14/3)</f>
        <v>94.666666666666671</v>
      </c>
      <c r="G16" s="94">
        <f>AVERAGE(B16:F16)</f>
        <v>118.06666666666668</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s="2" customFormat="1" x14ac:dyDescent="0.2">
      <c r="A20" s="93" t="s">
        <v>6</v>
      </c>
      <c r="B20" s="139" t="s">
        <v>66</v>
      </c>
      <c r="C20" s="139" t="s">
        <v>68</v>
      </c>
      <c r="D20" s="139" t="s">
        <v>70</v>
      </c>
      <c r="E20" s="139" t="s">
        <v>76</v>
      </c>
      <c r="F20" s="139" t="s">
        <v>77</v>
      </c>
      <c r="G20" s="140" t="s">
        <v>1</v>
      </c>
      <c r="H20" s="19"/>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61</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3">
        <v>17</v>
      </c>
      <c r="C32" s="3">
        <v>19</v>
      </c>
      <c r="D32" s="3">
        <v>18</v>
      </c>
      <c r="E32" s="3">
        <v>18</v>
      </c>
      <c r="F32" s="3">
        <v>20</v>
      </c>
      <c r="G32" s="94">
        <f>AVERAGE(B32:F32)</f>
        <v>18.399999999999999</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8.6470588235294112</v>
      </c>
      <c r="C42" s="9">
        <f>C15/C32</f>
        <v>7.6842105263157894</v>
      </c>
      <c r="D42" s="9">
        <f>D15/D32</f>
        <v>7.7777777777777777</v>
      </c>
      <c r="E42" s="9">
        <f>E15/E32</f>
        <v>6.666666666666667</v>
      </c>
      <c r="F42" s="9">
        <f>F15/F32</f>
        <v>5.5</v>
      </c>
      <c r="G42" s="94">
        <f>AVERAGE(B42:F42)</f>
        <v>7.2551427588579287</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c r="C46" s="96"/>
      <c r="D46" s="96"/>
      <c r="E46" s="96"/>
      <c r="F46" s="96"/>
      <c r="G46" s="97"/>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5103</v>
      </c>
      <c r="C54" s="10">
        <v>5121</v>
      </c>
      <c r="D54" s="10">
        <v>4941</v>
      </c>
      <c r="E54" s="10">
        <v>4833</v>
      </c>
      <c r="F54" s="10">
        <v>4251</v>
      </c>
      <c r="G54" s="103">
        <f>AVERAGE(B54:F54)</f>
        <v>4849.8</v>
      </c>
    </row>
    <row r="55" spans="1:7" x14ac:dyDescent="0.2">
      <c r="A55" s="87" t="s">
        <v>12</v>
      </c>
      <c r="B55" s="10">
        <v>3</v>
      </c>
      <c r="C55" s="10">
        <v>6</v>
      </c>
      <c r="D55" s="10">
        <v>0</v>
      </c>
      <c r="E55" s="10">
        <v>3</v>
      </c>
      <c r="F55" s="10">
        <v>3</v>
      </c>
      <c r="G55" s="103">
        <f>AVERAGE(B55:F55)</f>
        <v>3</v>
      </c>
    </row>
    <row r="56" spans="1:7" ht="13.5" thickBot="1" x14ac:dyDescent="0.25">
      <c r="A56" s="98" t="s">
        <v>5</v>
      </c>
      <c r="B56" s="106">
        <f>SUM(B54:B55)</f>
        <v>5106</v>
      </c>
      <c r="C56" s="106">
        <f>SUM(C54:C55)</f>
        <v>5127</v>
      </c>
      <c r="D56" s="106">
        <f>SUM(D54:D55)</f>
        <v>4941</v>
      </c>
      <c r="E56" s="106">
        <f>SUM(E54:E55)</f>
        <v>4836</v>
      </c>
      <c r="F56" s="106">
        <f>SUM(F54:F55)</f>
        <v>4254</v>
      </c>
      <c r="G56" s="105">
        <f>AVERAGE(B56:F56)</f>
        <v>4852.8</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23.1</v>
      </c>
      <c r="C62" s="3">
        <v>22.3</v>
      </c>
      <c r="D62" s="3">
        <v>22.6</v>
      </c>
      <c r="E62" s="86">
        <v>23.2</v>
      </c>
      <c r="F62" s="86">
        <v>21.8</v>
      </c>
      <c r="G62" s="103">
        <f>AVERAGE(B62:F62)</f>
        <v>22.6</v>
      </c>
    </row>
    <row r="63" spans="1:7" ht="13.5" thickBot="1" x14ac:dyDescent="0.25">
      <c r="A63" s="98" t="s">
        <v>12</v>
      </c>
      <c r="B63" s="104"/>
      <c r="C63" s="104"/>
      <c r="D63" s="104"/>
      <c r="E63" s="104"/>
      <c r="F63" s="104"/>
      <c r="G63" s="105"/>
    </row>
    <row r="64" spans="1:7" x14ac:dyDescent="0.2">
      <c r="A64"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7</v>
      </c>
      <c r="C70" s="3">
        <v>8</v>
      </c>
      <c r="D70" s="3">
        <v>8</v>
      </c>
      <c r="E70" s="3">
        <v>8</v>
      </c>
      <c r="F70" s="3">
        <v>8</v>
      </c>
      <c r="G70" s="94">
        <f>AVERAGE(B70:F70)</f>
        <v>7.8</v>
      </c>
    </row>
    <row r="71" spans="1:7" x14ac:dyDescent="0.2">
      <c r="A71" s="87" t="s">
        <v>4</v>
      </c>
      <c r="B71" s="3">
        <v>4</v>
      </c>
      <c r="C71" s="3">
        <v>4</v>
      </c>
      <c r="D71" s="3">
        <v>3</v>
      </c>
      <c r="E71" s="3">
        <v>3</v>
      </c>
      <c r="F71" s="3">
        <v>4</v>
      </c>
      <c r="G71" s="94">
        <f>AVERAGE(B71:F71)</f>
        <v>3.6</v>
      </c>
    </row>
    <row r="72" spans="1:7" x14ac:dyDescent="0.2">
      <c r="A72" s="87" t="s">
        <v>5</v>
      </c>
      <c r="B72" s="3">
        <f>SUM(B70:B71)</f>
        <v>11</v>
      </c>
      <c r="C72" s="3">
        <f>SUM(C70:C71)</f>
        <v>12</v>
      </c>
      <c r="D72" s="3">
        <f>SUM(D70:D71)</f>
        <v>11</v>
      </c>
      <c r="E72" s="3">
        <f>SUM(E70:E71)</f>
        <v>11</v>
      </c>
      <c r="F72" s="3">
        <f>SUM(F70:F71)</f>
        <v>12</v>
      </c>
      <c r="G72" s="94">
        <f>AVERAGE(B72:F72)</f>
        <v>11.4</v>
      </c>
    </row>
    <row r="73" spans="1:7" ht="13.5" thickBot="1" x14ac:dyDescent="0.25">
      <c r="A73" s="95" t="s">
        <v>62</v>
      </c>
      <c r="B73" s="96">
        <f>B70+(B71/3)</f>
        <v>8.3333333333333339</v>
      </c>
      <c r="C73" s="96">
        <f>C70+(C71/3)</f>
        <v>9.3333333333333339</v>
      </c>
      <c r="D73" s="96">
        <f>D70+(D71/3)</f>
        <v>9</v>
      </c>
      <c r="E73" s="96">
        <f>E70+(E71/3)</f>
        <v>9</v>
      </c>
      <c r="F73" s="96">
        <f>F70+(F71/3)</f>
        <v>9.3333333333333339</v>
      </c>
      <c r="G73" s="97">
        <f>AVERAGE(B73:F73)</f>
        <v>9.0000000000000018</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15.719999999999999</v>
      </c>
      <c r="C80" s="96">
        <f>(C16+C25)/C73</f>
        <v>13.857142857142858</v>
      </c>
      <c r="D80" s="96">
        <f>(D16+D25)/D73</f>
        <v>13.925925925925926</v>
      </c>
      <c r="E80" s="96">
        <f>(E16+E25)/E73</f>
        <v>12.222222222222221</v>
      </c>
      <c r="F80" s="96">
        <f>(F16+F25)/F73</f>
        <v>10.142857142857142</v>
      </c>
      <c r="G80" s="97">
        <f>AVERAGE(B80:F80)</f>
        <v>13.17362962962963</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612.71999999999991</v>
      </c>
      <c r="C85" s="96">
        <f>C56/C73</f>
        <v>549.32142857142856</v>
      </c>
      <c r="D85" s="96">
        <f>D56/D73</f>
        <v>549</v>
      </c>
      <c r="E85" s="96">
        <f>E56/E73</f>
        <v>537.33333333333337</v>
      </c>
      <c r="F85" s="96">
        <f>F56/F73</f>
        <v>455.78571428571428</v>
      </c>
      <c r="G85" s="97">
        <f>AVERAGE(B85:F85)</f>
        <v>540.83209523809523</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v>749130</v>
      </c>
      <c r="C90" s="100">
        <v>801371</v>
      </c>
      <c r="D90" s="100">
        <f>810287+8477</f>
        <v>818764</v>
      </c>
      <c r="E90" s="100">
        <f>809809.64+14731.73</f>
        <v>824541.37</v>
      </c>
      <c r="F90" s="104"/>
      <c r="G90" s="135">
        <f>AVERAGE(B90:E90)</f>
        <v>798451.59250000003</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146.71562867215042</v>
      </c>
      <c r="C95" s="102">
        <f>C90/C56</f>
        <v>156.30407645796762</v>
      </c>
      <c r="D95" s="102">
        <f>D90/D56</f>
        <v>165.70815624367538</v>
      </c>
      <c r="E95" s="102">
        <f>E90/E56</f>
        <v>170.50069685690653</v>
      </c>
      <c r="F95" s="102">
        <f>F90/F56</f>
        <v>0</v>
      </c>
      <c r="G95" s="101">
        <f>AVERAGE(B95:F95)</f>
        <v>127.84571164613999</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43" t="s">
        <v>19</v>
      </c>
      <c r="C6" s="142"/>
      <c r="D6" s="142"/>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3">
        <v>311</v>
      </c>
      <c r="C13" s="3">
        <v>295</v>
      </c>
      <c r="D13" s="62">
        <v>269</v>
      </c>
      <c r="E13" s="3">
        <v>270</v>
      </c>
      <c r="F13" s="3">
        <v>253</v>
      </c>
      <c r="G13" s="110">
        <f>AVERAGE(B13:F13)</f>
        <v>279.60000000000002</v>
      </c>
    </row>
    <row r="14" spans="1:8" x14ac:dyDescent="0.2">
      <c r="A14" s="87" t="s">
        <v>4</v>
      </c>
      <c r="B14" s="3">
        <v>48</v>
      </c>
      <c r="C14" s="3">
        <v>47</v>
      </c>
      <c r="D14" s="62">
        <v>47</v>
      </c>
      <c r="E14" s="3">
        <v>47</v>
      </c>
      <c r="F14" s="3">
        <v>47</v>
      </c>
      <c r="G14" s="110">
        <f>AVERAGE(B14:F14)</f>
        <v>47.2</v>
      </c>
    </row>
    <row r="15" spans="1:8" x14ac:dyDescent="0.2">
      <c r="A15" s="87" t="s">
        <v>5</v>
      </c>
      <c r="B15" s="3">
        <f>SUM(B13:B14)</f>
        <v>359</v>
      </c>
      <c r="C15" s="3">
        <f>SUM(C13:C14)</f>
        <v>342</v>
      </c>
      <c r="D15" s="3">
        <f>SUM(D13:D14)</f>
        <v>316</v>
      </c>
      <c r="E15" s="62">
        <f>SUM(E13:E14)</f>
        <v>317</v>
      </c>
      <c r="F15" s="62">
        <f>SUM(F13:F14)</f>
        <v>300</v>
      </c>
      <c r="G15" s="94">
        <f>AVERAGE(B15:F15)</f>
        <v>326.8</v>
      </c>
    </row>
    <row r="16" spans="1:8" x14ac:dyDescent="0.2">
      <c r="A16" s="111" t="s">
        <v>61</v>
      </c>
      <c r="B16" s="9">
        <f>B13+(B14/3)</f>
        <v>327</v>
      </c>
      <c r="C16" s="9">
        <f>C13+(C14/3)</f>
        <v>310.66666666666669</v>
      </c>
      <c r="D16" s="9">
        <f>D13+(D14/3)</f>
        <v>284.66666666666669</v>
      </c>
      <c r="E16" s="63">
        <f>E13+(E14/3)</f>
        <v>285.66666666666669</v>
      </c>
      <c r="F16" s="63">
        <f>F13+(F14/3)</f>
        <v>268.66666666666669</v>
      </c>
      <c r="G16" s="94">
        <f>AVERAGE(B16:F16)</f>
        <v>295.33333333333337</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61</v>
      </c>
      <c r="B25" s="133"/>
      <c r="C25" s="133"/>
      <c r="D25" s="133"/>
      <c r="E25" s="134"/>
      <c r="F25" s="133"/>
      <c r="G25" s="114"/>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8">
        <v>36</v>
      </c>
      <c r="C32" s="8">
        <v>41</v>
      </c>
      <c r="D32" s="8">
        <v>30</v>
      </c>
      <c r="E32" s="3">
        <v>37</v>
      </c>
      <c r="F32" s="3">
        <v>36</v>
      </c>
      <c r="G32" s="94">
        <f>AVERAGE(B32:F32)</f>
        <v>36</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9.9722222222222214</v>
      </c>
      <c r="C42" s="9">
        <f>C15/C32</f>
        <v>8.3414634146341466</v>
      </c>
      <c r="D42" s="9">
        <f>D15/D32</f>
        <v>10.533333333333333</v>
      </c>
      <c r="E42" s="9">
        <f>E15/E32</f>
        <v>8.5675675675675684</v>
      </c>
      <c r="F42" s="9">
        <f>F15/F32</f>
        <v>8.3333333333333339</v>
      </c>
      <c r="G42" s="94">
        <f>AVERAGE(B42:F42)</f>
        <v>9.1495839742181211</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c r="C46" s="96"/>
      <c r="D46" s="96"/>
      <c r="E46" s="96"/>
      <c r="F46" s="96"/>
      <c r="G46" s="97"/>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69">
        <v>9697</v>
      </c>
      <c r="C54" s="69">
        <v>9407</v>
      </c>
      <c r="D54" s="69">
        <v>9281</v>
      </c>
      <c r="E54" s="10">
        <v>9100</v>
      </c>
      <c r="F54" s="10">
        <v>9055</v>
      </c>
      <c r="G54" s="103">
        <f>AVERAGE(B54:F54)</f>
        <v>9308</v>
      </c>
    </row>
    <row r="55" spans="1:7" x14ac:dyDescent="0.2">
      <c r="A55" s="87" t="s">
        <v>12</v>
      </c>
      <c r="B55" s="69">
        <v>49</v>
      </c>
      <c r="C55" s="69">
        <v>66</v>
      </c>
      <c r="D55" s="69">
        <v>88</v>
      </c>
      <c r="E55" s="10">
        <v>22</v>
      </c>
      <c r="F55" s="10">
        <v>17</v>
      </c>
      <c r="G55" s="103">
        <f>AVERAGE(B55:F55)</f>
        <v>48.4</v>
      </c>
    </row>
    <row r="56" spans="1:7" ht="13.5" thickBot="1" x14ac:dyDescent="0.25">
      <c r="A56" s="98" t="s">
        <v>5</v>
      </c>
      <c r="B56" s="132">
        <f>SUM(B54:B55)</f>
        <v>9746</v>
      </c>
      <c r="C56" s="132">
        <f>SUM(C54:C55)</f>
        <v>9473</v>
      </c>
      <c r="D56" s="132">
        <f>SUM(D54:D55)</f>
        <v>9369</v>
      </c>
      <c r="E56" s="132">
        <f>SUM(E54:E55)</f>
        <v>9122</v>
      </c>
      <c r="F56" s="132">
        <f>SUM(F54:F55)</f>
        <v>9072</v>
      </c>
      <c r="G56" s="105">
        <f>AVERAGE(B56:F56)</f>
        <v>9356.4</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28</v>
      </c>
      <c r="C62" s="3">
        <v>27.6</v>
      </c>
      <c r="D62" s="8">
        <v>25.7</v>
      </c>
      <c r="E62" s="86">
        <v>23.2</v>
      </c>
      <c r="F62" s="86">
        <v>25.4</v>
      </c>
      <c r="G62" s="94">
        <f>AVERAGE(B62:F62)</f>
        <v>25.98</v>
      </c>
    </row>
    <row r="63" spans="1:7" ht="13.5" thickBot="1" x14ac:dyDescent="0.25">
      <c r="A63" s="98" t="s">
        <v>12</v>
      </c>
      <c r="B63" s="104"/>
      <c r="C63" s="104"/>
      <c r="D63" s="119">
        <v>8</v>
      </c>
      <c r="E63" s="104"/>
      <c r="F63" s="104"/>
      <c r="G63" s="97">
        <f>AVERAGE(B63:F63)</f>
        <v>8</v>
      </c>
    </row>
    <row r="64" spans="1:7" x14ac:dyDescent="0.2">
      <c r="A64"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13</v>
      </c>
      <c r="C70" s="3">
        <v>13</v>
      </c>
      <c r="D70" s="3">
        <v>13</v>
      </c>
      <c r="E70" s="3">
        <v>13</v>
      </c>
      <c r="F70" s="3">
        <v>13</v>
      </c>
      <c r="G70" s="94">
        <f>AVERAGE(B70:F70)</f>
        <v>13</v>
      </c>
    </row>
    <row r="71" spans="1:7" x14ac:dyDescent="0.2">
      <c r="A71" s="87" t="s">
        <v>4</v>
      </c>
      <c r="B71" s="3">
        <v>2</v>
      </c>
      <c r="C71" s="3">
        <v>3</v>
      </c>
      <c r="D71" s="3">
        <v>1</v>
      </c>
      <c r="E71" s="3">
        <v>2</v>
      </c>
      <c r="F71" s="3">
        <v>2</v>
      </c>
      <c r="G71" s="94">
        <f>AVERAGE(B71:F71)</f>
        <v>2</v>
      </c>
    </row>
    <row r="72" spans="1:7" x14ac:dyDescent="0.2">
      <c r="A72" s="87" t="s">
        <v>5</v>
      </c>
      <c r="B72" s="3">
        <f>SUM(B70:B71)</f>
        <v>15</v>
      </c>
      <c r="C72" s="3">
        <f>SUM(C70:C71)</f>
        <v>16</v>
      </c>
      <c r="D72" s="3">
        <f>SUM(D70:D71)</f>
        <v>14</v>
      </c>
      <c r="E72" s="3">
        <f>SUM(E70:E71)</f>
        <v>15</v>
      </c>
      <c r="F72" s="3">
        <f>SUM(F70:F71)</f>
        <v>15</v>
      </c>
      <c r="G72" s="94">
        <f>AVERAGE(B72:F72)</f>
        <v>15</v>
      </c>
    </row>
    <row r="73" spans="1:7" ht="13.5" thickBot="1" x14ac:dyDescent="0.25">
      <c r="A73" s="95" t="s">
        <v>62</v>
      </c>
      <c r="B73" s="96">
        <f>B70+(B71/3)</f>
        <v>13.666666666666666</v>
      </c>
      <c r="C73" s="96">
        <f>C70+(C71/3)</f>
        <v>14</v>
      </c>
      <c r="D73" s="96">
        <f>D70+(D71/3)</f>
        <v>13.333333333333334</v>
      </c>
      <c r="E73" s="96">
        <f>E70+(E71/3)</f>
        <v>13.666666666666666</v>
      </c>
      <c r="F73" s="96">
        <f>F70+(F71/3)</f>
        <v>13.666666666666666</v>
      </c>
      <c r="G73" s="97">
        <f>AVERAGE(B73:F73)</f>
        <v>13.666666666666666</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23.926829268292686</v>
      </c>
      <c r="C80" s="96">
        <f>(C16+C25)/C73</f>
        <v>22.190476190476193</v>
      </c>
      <c r="D80" s="96">
        <f>(D16+D25)/D73</f>
        <v>21.35</v>
      </c>
      <c r="E80" s="96">
        <f>(E16+E25)/E73</f>
        <v>20.902439024390247</v>
      </c>
      <c r="F80" s="96">
        <f>(F16+F25)/F73</f>
        <v>19.658536585365855</v>
      </c>
      <c r="G80" s="97">
        <f>AVERAGE(B80:F80)</f>
        <v>21.605656213704997</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713.1219512195122</v>
      </c>
      <c r="C85" s="96">
        <f>C56/C73</f>
        <v>676.64285714285711</v>
      </c>
      <c r="D85" s="96">
        <f>D56/D73</f>
        <v>702.67499999999995</v>
      </c>
      <c r="E85" s="96">
        <f>E56/E73</f>
        <v>667.46341463414637</v>
      </c>
      <c r="F85" s="96">
        <f>F56/F73</f>
        <v>663.80487804878055</v>
      </c>
      <c r="G85" s="97">
        <f>AVERAGE(B85:F85)</f>
        <v>684.74162020905919</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v>1122765</v>
      </c>
      <c r="C90" s="100">
        <v>1140996</v>
      </c>
      <c r="D90" s="100">
        <f>1251288.22+69494.36</f>
        <v>1320782.58</v>
      </c>
      <c r="E90" s="100">
        <f>1265079.09+92114</f>
        <v>1357193.09</v>
      </c>
      <c r="F90" s="104"/>
      <c r="G90" s="101">
        <f>AVERAGE(B90:E90)</f>
        <v>1235434.1675</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115.2026472398933</v>
      </c>
      <c r="C95" s="102">
        <f>C90/C56</f>
        <v>120.44716562862874</v>
      </c>
      <c r="D95" s="102">
        <f>D90/D56</f>
        <v>140.97369836695486</v>
      </c>
      <c r="E95" s="102">
        <f>E90/E56</f>
        <v>148.78240407805308</v>
      </c>
      <c r="F95" s="102">
        <f>F90/F56</f>
        <v>0</v>
      </c>
      <c r="G95" s="101">
        <f>AVERAGE(B95:F95)</f>
        <v>105.08118306270599</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43" t="s">
        <v>29</v>
      </c>
      <c r="C6" s="142"/>
      <c r="D6" s="142"/>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3">
        <v>114</v>
      </c>
      <c r="C13" s="3">
        <v>113</v>
      </c>
      <c r="D13" s="62">
        <v>135</v>
      </c>
      <c r="E13" s="3">
        <v>151</v>
      </c>
      <c r="F13" s="3">
        <v>155</v>
      </c>
      <c r="G13" s="110">
        <f>AVERAGE(B13:F13)</f>
        <v>133.6</v>
      </c>
    </row>
    <row r="14" spans="1:8" x14ac:dyDescent="0.2">
      <c r="A14" s="87" t="s">
        <v>4</v>
      </c>
      <c r="B14" s="3">
        <v>26</v>
      </c>
      <c r="C14" s="3">
        <v>28</v>
      </c>
      <c r="D14" s="62">
        <v>24</v>
      </c>
      <c r="E14" s="3">
        <v>27</v>
      </c>
      <c r="F14" s="3">
        <v>24</v>
      </c>
      <c r="G14" s="110">
        <f>AVERAGE(B14:F14)</f>
        <v>25.8</v>
      </c>
    </row>
    <row r="15" spans="1:8" x14ac:dyDescent="0.2">
      <c r="A15" s="87" t="s">
        <v>5</v>
      </c>
      <c r="B15" s="3">
        <f>SUM(B13:B14)</f>
        <v>140</v>
      </c>
      <c r="C15" s="3">
        <f>SUM(C13:C14)</f>
        <v>141</v>
      </c>
      <c r="D15" s="3">
        <f>SUM(D13:D14)</f>
        <v>159</v>
      </c>
      <c r="E15" s="62">
        <f>SUM(E13:E14)</f>
        <v>178</v>
      </c>
      <c r="F15" s="62">
        <f>SUM(F13:F14)</f>
        <v>179</v>
      </c>
      <c r="G15" s="94">
        <f>AVERAGE(B15:F15)</f>
        <v>159.4</v>
      </c>
    </row>
    <row r="16" spans="1:8" x14ac:dyDescent="0.2">
      <c r="A16" s="111" t="s">
        <v>61</v>
      </c>
      <c r="B16" s="9">
        <f>B13+(B14/3)</f>
        <v>122.66666666666667</v>
      </c>
      <c r="C16" s="9">
        <f>C13+(C14/3)</f>
        <v>122.33333333333333</v>
      </c>
      <c r="D16" s="9">
        <f>D13+(D14/3)</f>
        <v>143</v>
      </c>
      <c r="E16" s="63">
        <f>E13+(E14/3)</f>
        <v>160</v>
      </c>
      <c r="F16" s="63">
        <f>F13+(F14/3)</f>
        <v>163</v>
      </c>
      <c r="G16" s="94">
        <f>AVERAGE(B16:F16)</f>
        <v>142.19999999999999</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61</v>
      </c>
      <c r="B25" s="133"/>
      <c r="C25" s="133"/>
      <c r="D25" s="133"/>
      <c r="E25" s="134"/>
      <c r="F25" s="133"/>
      <c r="G25" s="114"/>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8">
        <v>30</v>
      </c>
      <c r="C32" s="8">
        <v>14</v>
      </c>
      <c r="D32" s="8">
        <v>29</v>
      </c>
      <c r="E32" s="36">
        <v>19</v>
      </c>
      <c r="F32" s="36">
        <v>32</v>
      </c>
      <c r="G32" s="94">
        <f>AVERAGE(B32:F32)</f>
        <v>24.8</v>
      </c>
    </row>
    <row r="33" spans="1:8" x14ac:dyDescent="0.2">
      <c r="A33" s="91"/>
      <c r="B33" s="5"/>
      <c r="C33" s="5"/>
      <c r="D33" s="5"/>
      <c r="E33" s="7"/>
      <c r="F33" s="7"/>
      <c r="G33" s="92"/>
    </row>
    <row r="34" spans="1:8" x14ac:dyDescent="0.2">
      <c r="A34" s="91"/>
      <c r="B34" s="5"/>
      <c r="C34" s="5"/>
      <c r="D34" s="5"/>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19"/>
      <c r="C36" s="119"/>
      <c r="D36" s="119"/>
      <c r="E36" s="104"/>
      <c r="F36" s="104"/>
      <c r="G36" s="97"/>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4.666666666666667</v>
      </c>
      <c r="C42" s="9">
        <f>C15/C32</f>
        <v>10.071428571428571</v>
      </c>
      <c r="D42" s="9">
        <f>D15/D32</f>
        <v>5.4827586206896548</v>
      </c>
      <c r="E42" s="9">
        <f>E15/E32</f>
        <v>9.3684210526315788</v>
      </c>
      <c r="F42" s="9">
        <f>F15/F32</f>
        <v>5.59375</v>
      </c>
      <c r="G42" s="94">
        <f>AVERAGE(B42:F42)</f>
        <v>7.0366049822832935</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t="s">
        <v>45</v>
      </c>
      <c r="C46" s="96" t="s">
        <v>45</v>
      </c>
      <c r="D46" s="96" t="s">
        <v>45</v>
      </c>
      <c r="E46" s="96" t="s">
        <v>45</v>
      </c>
      <c r="F46" s="96" t="s">
        <v>45</v>
      </c>
      <c r="G46" s="97" t="e">
        <f>AVERAGE(B46:F46)</f>
        <v>#DIV/0!</v>
      </c>
    </row>
    <row r="47" spans="1:8" x14ac:dyDescent="0.2">
      <c r="A47" s="7"/>
      <c r="B47" s="7"/>
      <c r="C47" s="7"/>
      <c r="D47" s="7"/>
      <c r="E47" s="7"/>
      <c r="F47" s="7"/>
      <c r="G47" s="7"/>
      <c r="H47" s="5"/>
    </row>
    <row r="48" spans="1:8" x14ac:dyDescent="0.2">
      <c r="A48" s="7"/>
      <c r="B48" s="7"/>
      <c r="C48" s="7"/>
      <c r="D48" s="7"/>
      <c r="E48" s="7"/>
      <c r="F48" s="7"/>
      <c r="G48" s="7"/>
      <c r="H48" s="5"/>
    </row>
    <row r="50" spans="1:8" ht="13.5" thickBot="1" x14ac:dyDescent="0.25"/>
    <row r="51" spans="1:8" x14ac:dyDescent="0.2">
      <c r="A51" s="88" t="s">
        <v>9</v>
      </c>
      <c r="B51" s="89"/>
      <c r="C51" s="89"/>
      <c r="D51" s="89"/>
      <c r="E51" s="89"/>
      <c r="F51" s="89"/>
      <c r="G51" s="90"/>
    </row>
    <row r="52" spans="1:8" x14ac:dyDescent="0.2">
      <c r="A52" s="91"/>
      <c r="B52" s="7"/>
      <c r="C52" s="7"/>
      <c r="D52" s="7"/>
      <c r="E52" s="7"/>
      <c r="F52" s="7"/>
      <c r="G52" s="92"/>
    </row>
    <row r="53" spans="1:8" x14ac:dyDescent="0.2">
      <c r="A53" s="93" t="s">
        <v>10</v>
      </c>
      <c r="B53" s="139" t="s">
        <v>66</v>
      </c>
      <c r="C53" s="139" t="s">
        <v>68</v>
      </c>
      <c r="D53" s="139" t="s">
        <v>70</v>
      </c>
      <c r="E53" s="139" t="s">
        <v>76</v>
      </c>
      <c r="F53" s="139" t="s">
        <v>77</v>
      </c>
      <c r="G53" s="140" t="s">
        <v>1</v>
      </c>
    </row>
    <row r="54" spans="1:8" x14ac:dyDescent="0.2">
      <c r="A54" s="87" t="s">
        <v>53</v>
      </c>
      <c r="B54" s="69">
        <v>4072</v>
      </c>
      <c r="C54" s="69">
        <v>4031</v>
      </c>
      <c r="D54" s="69">
        <v>3973</v>
      </c>
      <c r="E54" s="10">
        <v>4240</v>
      </c>
      <c r="F54" s="10">
        <v>4043</v>
      </c>
      <c r="G54" s="103">
        <f>AVERAGE(B54:F54)</f>
        <v>4071.8</v>
      </c>
    </row>
    <row r="55" spans="1:8" x14ac:dyDescent="0.2">
      <c r="A55" s="87" t="s">
        <v>12</v>
      </c>
      <c r="B55" s="69">
        <v>0</v>
      </c>
      <c r="C55" s="69">
        <v>3</v>
      </c>
      <c r="D55" s="69">
        <v>3</v>
      </c>
      <c r="E55" s="10">
        <v>3</v>
      </c>
      <c r="F55" s="10">
        <v>15</v>
      </c>
      <c r="G55" s="103">
        <f>AVERAGE(B55:F55)</f>
        <v>4.8</v>
      </c>
    </row>
    <row r="56" spans="1:8" ht="13.5" thickBot="1" x14ac:dyDescent="0.25">
      <c r="A56" s="98" t="s">
        <v>5</v>
      </c>
      <c r="B56" s="132">
        <f>SUM(B54:B55)</f>
        <v>4072</v>
      </c>
      <c r="C56" s="132">
        <f>SUM(C54:C55)</f>
        <v>4034</v>
      </c>
      <c r="D56" s="132">
        <f>SUM(D54:D55)</f>
        <v>3976</v>
      </c>
      <c r="E56" s="132">
        <f>SUM(E54:E55)</f>
        <v>4243</v>
      </c>
      <c r="F56" s="132">
        <f>SUM(F54:F55)</f>
        <v>4058</v>
      </c>
      <c r="G56" s="105">
        <f>AVERAGE(B56:F56)</f>
        <v>4076.6</v>
      </c>
    </row>
    <row r="58" spans="1:8" ht="13.5" thickBot="1" x14ac:dyDescent="0.25"/>
    <row r="59" spans="1:8" x14ac:dyDescent="0.2">
      <c r="A59" s="88" t="s">
        <v>74</v>
      </c>
      <c r="B59" s="89"/>
      <c r="C59" s="89"/>
      <c r="D59" s="89"/>
      <c r="E59" s="89"/>
      <c r="F59" s="89"/>
      <c r="G59" s="90"/>
    </row>
    <row r="60" spans="1:8" x14ac:dyDescent="0.2">
      <c r="A60" s="91"/>
      <c r="B60" s="7"/>
      <c r="C60" s="7"/>
      <c r="D60" s="7"/>
      <c r="E60" s="7"/>
      <c r="F60" s="7"/>
      <c r="G60" s="92"/>
    </row>
    <row r="61" spans="1:8" x14ac:dyDescent="0.2">
      <c r="A61" s="93" t="s">
        <v>11</v>
      </c>
      <c r="B61" s="139" t="s">
        <v>66</v>
      </c>
      <c r="C61" s="139" t="s">
        <v>68</v>
      </c>
      <c r="D61" s="139" t="s">
        <v>70</v>
      </c>
      <c r="E61" s="139" t="s">
        <v>76</v>
      </c>
      <c r="F61" s="139" t="s">
        <v>77</v>
      </c>
      <c r="G61" s="140" t="s">
        <v>1</v>
      </c>
    </row>
    <row r="62" spans="1:8" x14ac:dyDescent="0.2">
      <c r="A62" s="87" t="s">
        <v>53</v>
      </c>
      <c r="B62" s="3">
        <v>21.7</v>
      </c>
      <c r="C62" s="3">
        <v>22.8</v>
      </c>
      <c r="D62" s="3">
        <v>22</v>
      </c>
      <c r="E62" s="86">
        <v>21.7</v>
      </c>
      <c r="F62" s="86">
        <v>22.3</v>
      </c>
      <c r="G62" s="94">
        <f>AVERAGE(B62:F62)</f>
        <v>22.1</v>
      </c>
    </row>
    <row r="63" spans="1:8" ht="13.5" thickBot="1" x14ac:dyDescent="0.25">
      <c r="A63" s="98" t="s">
        <v>12</v>
      </c>
      <c r="B63" s="104"/>
      <c r="C63" s="104"/>
      <c r="D63" s="104"/>
      <c r="E63" s="104"/>
      <c r="F63" s="104"/>
      <c r="G63" s="97"/>
    </row>
    <row r="64" spans="1:8" x14ac:dyDescent="0.2">
      <c r="A64" s="14"/>
      <c r="B64" s="40"/>
      <c r="C64" s="40"/>
      <c r="D64" s="40"/>
      <c r="E64" s="40"/>
      <c r="F64" s="40"/>
      <c r="G64" s="40"/>
      <c r="H64" s="57"/>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7</v>
      </c>
      <c r="C70" s="3">
        <v>7</v>
      </c>
      <c r="D70" s="3">
        <v>7</v>
      </c>
      <c r="E70" s="3">
        <v>7</v>
      </c>
      <c r="F70" s="3">
        <v>6</v>
      </c>
      <c r="G70" s="94">
        <f>AVERAGE(B70:F70)</f>
        <v>6.8</v>
      </c>
    </row>
    <row r="71" spans="1:7" x14ac:dyDescent="0.2">
      <c r="A71" s="87" t="s">
        <v>4</v>
      </c>
      <c r="B71" s="3">
        <v>7</v>
      </c>
      <c r="C71" s="3">
        <v>7</v>
      </c>
      <c r="D71" s="3">
        <v>6</v>
      </c>
      <c r="E71" s="3">
        <v>7</v>
      </c>
      <c r="F71" s="3">
        <v>7</v>
      </c>
      <c r="G71" s="94">
        <f>AVERAGE(B71:F71)</f>
        <v>6.8</v>
      </c>
    </row>
    <row r="72" spans="1:7" x14ac:dyDescent="0.2">
      <c r="A72" s="87" t="s">
        <v>5</v>
      </c>
      <c r="B72" s="3">
        <f>SUM(B70:B71)</f>
        <v>14</v>
      </c>
      <c r="C72" s="3">
        <f>SUM(C70:C71)</f>
        <v>14</v>
      </c>
      <c r="D72" s="3">
        <f>SUM(D70:D71)</f>
        <v>13</v>
      </c>
      <c r="E72" s="3">
        <f>SUM(E70:E71)</f>
        <v>14</v>
      </c>
      <c r="F72" s="3">
        <f>SUM(F70:F71)</f>
        <v>13</v>
      </c>
      <c r="G72" s="94">
        <f>AVERAGE(B72:F72)</f>
        <v>13.6</v>
      </c>
    </row>
    <row r="73" spans="1:7" ht="13.5" thickBot="1" x14ac:dyDescent="0.25">
      <c r="A73" s="95" t="s">
        <v>62</v>
      </c>
      <c r="B73" s="96">
        <f>B70+(B71/3)</f>
        <v>9.3333333333333339</v>
      </c>
      <c r="C73" s="96">
        <f>C70+(C71/3)</f>
        <v>9.3333333333333339</v>
      </c>
      <c r="D73" s="96">
        <f>D70+(D71/3)</f>
        <v>9</v>
      </c>
      <c r="E73" s="96">
        <f>E70+(E71/3)</f>
        <v>9.3333333333333339</v>
      </c>
      <c r="F73" s="96">
        <f>F70+(F71/3)</f>
        <v>8.3333333333333339</v>
      </c>
      <c r="G73" s="97">
        <f>AVERAGE(B73:F73)</f>
        <v>9.0666666666666664</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 + B25)/B73</f>
        <v>13.142857142857142</v>
      </c>
      <c r="C80" s="96">
        <f>(C16 + C25)/C73</f>
        <v>13.107142857142856</v>
      </c>
      <c r="D80" s="96">
        <f>(D16 + D25)/D73</f>
        <v>15.888888888888889</v>
      </c>
      <c r="E80" s="96">
        <f>(E16 + E25)/E73</f>
        <v>17.142857142857142</v>
      </c>
      <c r="F80" s="96">
        <f>(F16 + F25)/F73</f>
        <v>19.559999999999999</v>
      </c>
      <c r="G80" s="97">
        <f>AVERAGE(B80:F80)</f>
        <v>15.768349206349205</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436.28571428571428</v>
      </c>
      <c r="C85" s="96">
        <f>C56/C73</f>
        <v>432.21428571428567</v>
      </c>
      <c r="D85" s="96">
        <f>D56/D73</f>
        <v>441.77777777777777</v>
      </c>
      <c r="E85" s="96">
        <f>E56/E73</f>
        <v>454.60714285714283</v>
      </c>
      <c r="F85" s="96">
        <f>F56/F73</f>
        <v>486.96</v>
      </c>
      <c r="G85" s="97">
        <f>AVERAGE(B85:F85)</f>
        <v>450.36898412698412</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18">
        <v>715533</v>
      </c>
      <c r="C90" s="118">
        <v>718969</v>
      </c>
      <c r="D90" s="118">
        <f>715735.66+24848.68</f>
        <v>740584.34000000008</v>
      </c>
      <c r="E90" s="100">
        <f>727409.8+29569.07</f>
        <v>756978.87</v>
      </c>
      <c r="F90" s="104"/>
      <c r="G90" s="101">
        <f>AVERAGE(B90:E90)</f>
        <v>733016.30249999999</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175.72028487229863</v>
      </c>
      <c r="C95" s="102">
        <f>C90/C56</f>
        <v>178.22731779871097</v>
      </c>
      <c r="D95" s="102">
        <f>D90/D56</f>
        <v>186.26366700201208</v>
      </c>
      <c r="E95" s="102">
        <f>E90/E56</f>
        <v>178.40652132924816</v>
      </c>
      <c r="F95" s="102">
        <f>F90/F56</f>
        <v>0</v>
      </c>
      <c r="G95" s="101">
        <f>AVERAGE(B95:F95)</f>
        <v>143.72355820045397</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0"/>
  <sheetViews>
    <sheetView topLeftCell="A43"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62" t="s">
        <v>50</v>
      </c>
      <c r="C6" s="164"/>
      <c r="D6" s="164"/>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3">
        <v>197</v>
      </c>
      <c r="C13" s="3">
        <v>221</v>
      </c>
      <c r="D13" s="62">
        <v>248</v>
      </c>
      <c r="E13" s="3">
        <v>243</v>
      </c>
      <c r="F13" s="3">
        <v>184</v>
      </c>
      <c r="G13" s="110">
        <f>AVERAGE(B13:F13)</f>
        <v>218.6</v>
      </c>
    </row>
    <row r="14" spans="1:8" x14ac:dyDescent="0.2">
      <c r="A14" s="87" t="s">
        <v>4</v>
      </c>
      <c r="B14" s="3">
        <v>40</v>
      </c>
      <c r="C14" s="3">
        <v>35</v>
      </c>
      <c r="D14" s="62">
        <v>34</v>
      </c>
      <c r="E14" s="3">
        <v>29</v>
      </c>
      <c r="F14" s="3">
        <v>36</v>
      </c>
      <c r="G14" s="110">
        <f>AVERAGE(B14:F14)</f>
        <v>34.799999999999997</v>
      </c>
    </row>
    <row r="15" spans="1:8" x14ac:dyDescent="0.2">
      <c r="A15" s="87" t="s">
        <v>5</v>
      </c>
      <c r="B15" s="3">
        <f>SUM(B13:B14)</f>
        <v>237</v>
      </c>
      <c r="C15" s="3">
        <f>SUM(C13:C14)</f>
        <v>256</v>
      </c>
      <c r="D15" s="3">
        <f>SUM(D13:D14)</f>
        <v>282</v>
      </c>
      <c r="E15" s="62">
        <f>SUM(E13:E14)</f>
        <v>272</v>
      </c>
      <c r="F15" s="62">
        <f>SUM(F13:F14)</f>
        <v>220</v>
      </c>
      <c r="G15" s="94">
        <f>AVERAGE(B15:F15)</f>
        <v>253.4</v>
      </c>
    </row>
    <row r="16" spans="1:8" x14ac:dyDescent="0.2">
      <c r="A16" s="111" t="s">
        <v>61</v>
      </c>
      <c r="B16" s="9">
        <f>B13+(B14/3)</f>
        <v>210.33333333333334</v>
      </c>
      <c r="C16" s="9">
        <f>C13+(C14/3)</f>
        <v>232.66666666666666</v>
      </c>
      <c r="D16" s="9">
        <f>D13+(D14/3)</f>
        <v>259.33333333333331</v>
      </c>
      <c r="E16" s="63">
        <f>E13+(E14/3)</f>
        <v>252.66666666666666</v>
      </c>
      <c r="F16" s="63">
        <f>F13+(F14/3)</f>
        <v>196</v>
      </c>
      <c r="G16" s="94">
        <f>AVERAGE(B16:F16)</f>
        <v>230.2</v>
      </c>
    </row>
    <row r="17" spans="1:8" x14ac:dyDescent="0.2">
      <c r="A17" s="112"/>
      <c r="B17" s="7"/>
      <c r="C17" s="7"/>
      <c r="D17" s="7"/>
      <c r="E17" s="7"/>
      <c r="F17" s="7"/>
      <c r="G17" s="92"/>
    </row>
    <row r="18" spans="1:8" x14ac:dyDescent="0.2">
      <c r="A18" s="112"/>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09"/>
    </row>
    <row r="22" spans="1:8" x14ac:dyDescent="0.2">
      <c r="A22" s="87" t="s">
        <v>3</v>
      </c>
      <c r="B22" s="3">
        <v>23</v>
      </c>
      <c r="C22" s="3">
        <v>20</v>
      </c>
      <c r="D22" s="62">
        <v>34</v>
      </c>
      <c r="E22" s="3">
        <v>26</v>
      </c>
      <c r="F22" s="3">
        <v>12</v>
      </c>
      <c r="G22" s="110">
        <f>AVERAGE(B22:F22)</f>
        <v>23</v>
      </c>
    </row>
    <row r="23" spans="1:8" x14ac:dyDescent="0.2">
      <c r="A23" s="87" t="s">
        <v>4</v>
      </c>
      <c r="B23" s="3">
        <v>15</v>
      </c>
      <c r="C23" s="3">
        <v>26</v>
      </c>
      <c r="D23" s="62">
        <v>26</v>
      </c>
      <c r="E23" s="3">
        <v>23</v>
      </c>
      <c r="F23" s="3">
        <v>26</v>
      </c>
      <c r="G23" s="110">
        <f>AVERAGE(B23:F23)</f>
        <v>23.2</v>
      </c>
    </row>
    <row r="24" spans="1:8" x14ac:dyDescent="0.2">
      <c r="A24" s="87" t="s">
        <v>5</v>
      </c>
      <c r="B24" s="3">
        <f>SUM(B22:B23)</f>
        <v>38</v>
      </c>
      <c r="C24" s="3">
        <f>SUM(C22:C23)</f>
        <v>46</v>
      </c>
      <c r="D24" s="3">
        <f>SUM(D22:D23)</f>
        <v>60</v>
      </c>
      <c r="E24" s="62">
        <f>SUM(E22:E23)</f>
        <v>49</v>
      </c>
      <c r="F24" s="3">
        <f>SUM(F22:F23)</f>
        <v>38</v>
      </c>
      <c r="G24" s="110">
        <f>AVERAGE(B24:F24)</f>
        <v>46.2</v>
      </c>
    </row>
    <row r="25" spans="1:8" ht="13.5" thickBot="1" x14ac:dyDescent="0.25">
      <c r="A25" s="95" t="s">
        <v>61</v>
      </c>
      <c r="B25" s="96">
        <f>B22+(B23/3)</f>
        <v>28</v>
      </c>
      <c r="C25" s="96">
        <f>C22+(C23/3)</f>
        <v>28.666666666666664</v>
      </c>
      <c r="D25" s="96">
        <f>D22+(D23/3)</f>
        <v>42.666666666666664</v>
      </c>
      <c r="E25" s="113">
        <f>E22+(E23/3)</f>
        <v>33.666666666666664</v>
      </c>
      <c r="F25" s="96">
        <f>F22+(F23/3)</f>
        <v>20.666666666666664</v>
      </c>
      <c r="G25" s="114">
        <f>AVERAGE(B25:F25)</f>
        <v>30.733333333333331</v>
      </c>
    </row>
    <row r="26" spans="1:8" x14ac:dyDescent="0.2">
      <c r="A26" s="5"/>
      <c r="B26" s="7"/>
      <c r="C26" s="7"/>
      <c r="D26" s="7"/>
      <c r="E26" s="7"/>
      <c r="F26" s="7"/>
      <c r="G26" s="7"/>
      <c r="H26" s="5"/>
    </row>
    <row r="27" spans="1:8" x14ac:dyDescent="0.2">
      <c r="A27"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3">
        <v>36</v>
      </c>
      <c r="C32" s="3">
        <v>23</v>
      </c>
      <c r="D32" s="3">
        <v>39</v>
      </c>
      <c r="E32" s="3">
        <v>47</v>
      </c>
      <c r="F32" s="3">
        <v>47</v>
      </c>
      <c r="G32" s="94">
        <f>AVERAGE(B32:F32)</f>
        <v>38.4</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v>3</v>
      </c>
      <c r="C36" s="104">
        <v>9</v>
      </c>
      <c r="D36" s="104">
        <v>12</v>
      </c>
      <c r="E36" s="104">
        <v>17</v>
      </c>
      <c r="F36" s="104">
        <v>20</v>
      </c>
      <c r="G36" s="97">
        <f>AVERAGE(B36:F36)</f>
        <v>12.2</v>
      </c>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6.583333333333333</v>
      </c>
      <c r="C42" s="9">
        <f>C15/C32</f>
        <v>11.130434782608695</v>
      </c>
      <c r="D42" s="9">
        <f>D15/D32</f>
        <v>7.2307692307692308</v>
      </c>
      <c r="E42" s="9">
        <f>E15/E32</f>
        <v>5.7872340425531918</v>
      </c>
      <c r="F42" s="9">
        <f>F15/F32</f>
        <v>4.6808510638297873</v>
      </c>
      <c r="G42" s="94">
        <f>AVERAGE(B42:F42)</f>
        <v>7.0825244906188471</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f>B24/B36</f>
        <v>12.666666666666666</v>
      </c>
      <c r="C46" s="96">
        <f>C24/C36</f>
        <v>5.1111111111111107</v>
      </c>
      <c r="D46" s="96">
        <f>D24/D36</f>
        <v>5</v>
      </c>
      <c r="E46" s="96">
        <f>E24/E36</f>
        <v>2.8823529411764706</v>
      </c>
      <c r="F46" s="96">
        <f>F24/F36</f>
        <v>1.9</v>
      </c>
      <c r="G46" s="97">
        <f>AVERAGE(B46:F46)</f>
        <v>5.51202614379085</v>
      </c>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2208</v>
      </c>
      <c r="C54" s="10">
        <v>2493</v>
      </c>
      <c r="D54" s="10">
        <v>3054</v>
      </c>
      <c r="E54" s="10">
        <v>3558</v>
      </c>
      <c r="F54" s="10">
        <v>2887</v>
      </c>
      <c r="G54" s="103">
        <f>AVERAGE(B54:F54)</f>
        <v>2840</v>
      </c>
    </row>
    <row r="55" spans="1:7" x14ac:dyDescent="0.2">
      <c r="A55" s="87" t="s">
        <v>12</v>
      </c>
      <c r="B55" s="10">
        <v>471</v>
      </c>
      <c r="C55" s="10">
        <v>543</v>
      </c>
      <c r="D55" s="10">
        <v>726</v>
      </c>
      <c r="E55" s="10">
        <v>693</v>
      </c>
      <c r="F55" s="10">
        <v>450</v>
      </c>
      <c r="G55" s="103">
        <f>AVERAGE(B55:F55)</f>
        <v>576.6</v>
      </c>
    </row>
    <row r="56" spans="1:7" ht="13.5" thickBot="1" x14ac:dyDescent="0.25">
      <c r="A56" s="98" t="s">
        <v>5</v>
      </c>
      <c r="B56" s="106">
        <f>SUM(B54:B55)</f>
        <v>2679</v>
      </c>
      <c r="C56" s="106">
        <f>SUM(C54:C55)</f>
        <v>3036</v>
      </c>
      <c r="D56" s="106">
        <f>SUM(D54:D55)</f>
        <v>3780</v>
      </c>
      <c r="E56" s="106">
        <f>SUM(E54:E55)</f>
        <v>4251</v>
      </c>
      <c r="F56" s="106">
        <f>SUM(F54:F55)</f>
        <v>3337</v>
      </c>
      <c r="G56" s="105">
        <f>AVERAGE(B56:F56)</f>
        <v>3416.6</v>
      </c>
    </row>
    <row r="57" spans="1:7" x14ac:dyDescent="0.2">
      <c r="A57" s="5"/>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29.3</v>
      </c>
      <c r="C62" s="3">
        <v>34.700000000000003</v>
      </c>
      <c r="D62" s="3">
        <v>31.5</v>
      </c>
      <c r="E62" s="86">
        <v>23.3</v>
      </c>
      <c r="F62" s="86">
        <v>19.399999999999999</v>
      </c>
      <c r="G62" s="94">
        <f>AVERAGE(B62:F62)</f>
        <v>27.639999999999997</v>
      </c>
    </row>
    <row r="63" spans="1:7" ht="13.5" thickBot="1" x14ac:dyDescent="0.25">
      <c r="A63" s="98" t="s">
        <v>12</v>
      </c>
      <c r="B63" s="104">
        <v>19.5</v>
      </c>
      <c r="C63" s="104">
        <v>18.399999999999999</v>
      </c>
      <c r="D63" s="104">
        <v>17.899999999999999</v>
      </c>
      <c r="E63" s="104">
        <v>14.8</v>
      </c>
      <c r="F63" s="104">
        <v>9.8000000000000007</v>
      </c>
      <c r="G63" s="97">
        <f>AVERAGE(B63:F63)</f>
        <v>16.079999999999998</v>
      </c>
    </row>
    <row r="64" spans="1:7" x14ac:dyDescent="0.2">
      <c r="A64" s="14"/>
    </row>
    <row r="65" spans="1:7" x14ac:dyDescent="0.2">
      <c r="A65"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2</v>
      </c>
      <c r="C70" s="3">
        <v>4</v>
      </c>
      <c r="D70" s="3">
        <v>4</v>
      </c>
      <c r="E70" s="3">
        <v>4</v>
      </c>
      <c r="F70" s="3">
        <v>4</v>
      </c>
      <c r="G70" s="94">
        <f>AVERAGE(B70:F70)</f>
        <v>3.6</v>
      </c>
    </row>
    <row r="71" spans="1:7" x14ac:dyDescent="0.2">
      <c r="A71" s="87" t="s">
        <v>4</v>
      </c>
      <c r="B71" s="3">
        <v>5</v>
      </c>
      <c r="C71" s="3">
        <v>2</v>
      </c>
      <c r="D71" s="3">
        <v>1</v>
      </c>
      <c r="E71" s="3">
        <v>3</v>
      </c>
      <c r="F71" s="3">
        <v>4</v>
      </c>
      <c r="G71" s="94">
        <f>AVERAGE(B71:F71)</f>
        <v>3</v>
      </c>
    </row>
    <row r="72" spans="1:7" x14ac:dyDescent="0.2">
      <c r="A72" s="87" t="s">
        <v>5</v>
      </c>
      <c r="B72" s="3">
        <f>SUM(B70:B71)</f>
        <v>7</v>
      </c>
      <c r="C72" s="3">
        <f>SUM(C70:C71)</f>
        <v>6</v>
      </c>
      <c r="D72" s="3">
        <f>SUM(D70:D71)</f>
        <v>5</v>
      </c>
      <c r="E72" s="3">
        <f>SUM(E70:E71)</f>
        <v>7</v>
      </c>
      <c r="F72" s="3">
        <f>SUM(F70:F71)</f>
        <v>8</v>
      </c>
      <c r="G72" s="94">
        <f>AVERAGE(B72:F72)</f>
        <v>6.6</v>
      </c>
    </row>
    <row r="73" spans="1:7" ht="13.5" thickBot="1" x14ac:dyDescent="0.25">
      <c r="A73" s="95" t="s">
        <v>62</v>
      </c>
      <c r="B73" s="96">
        <f>B70+(B71/3)</f>
        <v>3.666666666666667</v>
      </c>
      <c r="C73" s="96">
        <f>C70+(C71/3)</f>
        <v>4.666666666666667</v>
      </c>
      <c r="D73" s="96">
        <f>D70+(D71/3)</f>
        <v>4.333333333333333</v>
      </c>
      <c r="E73" s="96">
        <f>E70+(E71/3)</f>
        <v>5</v>
      </c>
      <c r="F73" s="96">
        <f>F70+(F71/3)</f>
        <v>5.333333333333333</v>
      </c>
      <c r="G73" s="97">
        <f>AVERAGE(B73:F73)</f>
        <v>4.5999999999999996</v>
      </c>
    </row>
    <row r="74" spans="1:7" x14ac:dyDescent="0.2">
      <c r="A74" s="5"/>
    </row>
    <row r="75" spans="1:7" x14ac:dyDescent="0.2">
      <c r="A75" s="5"/>
    </row>
    <row r="76" spans="1:7" x14ac:dyDescent="0.2">
      <c r="A76"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65</v>
      </c>
      <c r="C80" s="96">
        <f>(C16+C25)/C73</f>
        <v>55.999999999999993</v>
      </c>
      <c r="D80" s="96">
        <f>(D16+D25)/D73</f>
        <v>69.692307692307693</v>
      </c>
      <c r="E80" s="96">
        <f>(E16+E25)/E73</f>
        <v>57.266666666666666</v>
      </c>
      <c r="F80" s="96">
        <f>(F16+F25)/F73</f>
        <v>40.625</v>
      </c>
      <c r="G80" s="97">
        <f>AVERAGE(B80:F80)</f>
        <v>57.716794871794868</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730.63636363636363</v>
      </c>
      <c r="C85" s="96">
        <f>C56/C73</f>
        <v>650.57142857142856</v>
      </c>
      <c r="D85" s="96">
        <f>D56/D73</f>
        <v>872.30769230769238</v>
      </c>
      <c r="E85" s="96">
        <f>E56/E73</f>
        <v>850.2</v>
      </c>
      <c r="F85" s="96">
        <f>F56/F73</f>
        <v>625.6875</v>
      </c>
      <c r="G85" s="97">
        <f>AVERAGE(B85:F85)</f>
        <v>745.88059690309694</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18">
        <v>165755</v>
      </c>
      <c r="C90" s="118">
        <v>287221</v>
      </c>
      <c r="D90" s="118">
        <v>362389</v>
      </c>
      <c r="E90" s="100">
        <f>368968.81+948.23</f>
        <v>369917.04</v>
      </c>
      <c r="F90" s="104"/>
      <c r="G90" s="101">
        <f>AVERAGE(B90:E90)</f>
        <v>296320.51</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61.871967151922362</v>
      </c>
      <c r="C95" s="102">
        <f>C90/C56</f>
        <v>94.60507246376811</v>
      </c>
      <c r="D95" s="102">
        <f>D90/D56</f>
        <v>95.87010582010582</v>
      </c>
      <c r="E95" s="102">
        <f>E90/E56</f>
        <v>87.018828510938604</v>
      </c>
      <c r="F95" s="102">
        <f>F90/F56</f>
        <v>0</v>
      </c>
      <c r="G95" s="101">
        <f>AVERAGE(B95:F95)</f>
        <v>67.873194789346968</v>
      </c>
    </row>
    <row r="100" spans="1:5" x14ac:dyDescent="0.2">
      <c r="A100" s="19"/>
      <c r="B100" s="19"/>
      <c r="C100" s="19"/>
      <c r="D100" s="19"/>
      <c r="E100" s="19"/>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5"/>
  <sheetViews>
    <sheetView topLeftCell="A37"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9" x14ac:dyDescent="0.2">
      <c r="A1" s="159" t="s">
        <v>27</v>
      </c>
      <c r="B1" s="159"/>
      <c r="C1" s="159"/>
      <c r="D1" s="159"/>
      <c r="E1" s="159"/>
      <c r="F1" s="159"/>
      <c r="G1" s="159"/>
      <c r="H1" s="48"/>
    </row>
    <row r="2" spans="1:9" x14ac:dyDescent="0.2">
      <c r="A2" s="159" t="s">
        <v>78</v>
      </c>
      <c r="B2" s="159"/>
      <c r="C2" s="159"/>
      <c r="D2" s="159"/>
      <c r="E2" s="159"/>
      <c r="F2" s="159"/>
      <c r="G2" s="159"/>
      <c r="H2" s="48"/>
    </row>
    <row r="4" spans="1:9" ht="15" x14ac:dyDescent="0.25">
      <c r="A4" s="161" t="s">
        <v>52</v>
      </c>
      <c r="B4" s="161"/>
      <c r="C4" s="161"/>
      <c r="D4" s="161"/>
      <c r="E4" s="161"/>
      <c r="F4" s="161"/>
      <c r="G4" s="161"/>
      <c r="H4" s="49"/>
      <c r="I4" s="34"/>
    </row>
    <row r="5" spans="1:9" x14ac:dyDescent="0.2">
      <c r="A5" s="1"/>
      <c r="B5" s="1"/>
      <c r="C5" s="1"/>
      <c r="D5" s="1"/>
      <c r="E5" s="1"/>
      <c r="F5" s="1"/>
      <c r="G5" s="1"/>
      <c r="H5" s="49"/>
      <c r="I5" s="34"/>
    </row>
    <row r="6" spans="1:9" x14ac:dyDescent="0.2">
      <c r="A6" s="142" t="s">
        <v>17</v>
      </c>
      <c r="B6" s="162" t="s">
        <v>30</v>
      </c>
      <c r="C6" s="164"/>
      <c r="D6" s="164"/>
      <c r="E6" s="1"/>
      <c r="F6" s="1"/>
      <c r="G6" s="1"/>
      <c r="H6" s="49"/>
    </row>
    <row r="7" spans="1:9" x14ac:dyDescent="0.2">
      <c r="A7" s="1"/>
      <c r="B7" s="1"/>
      <c r="C7" s="1"/>
      <c r="D7" s="1"/>
      <c r="E7" s="1"/>
      <c r="F7" s="1"/>
      <c r="G7" s="1"/>
      <c r="H7" s="49"/>
    </row>
    <row r="8" spans="1:9" ht="13.5" thickBot="1" x14ac:dyDescent="0.25"/>
    <row r="9" spans="1:9" x14ac:dyDescent="0.2">
      <c r="A9" s="88" t="s">
        <v>67</v>
      </c>
      <c r="B9" s="89"/>
      <c r="C9" s="89"/>
      <c r="D9" s="89"/>
      <c r="E9" s="89"/>
      <c r="F9" s="89"/>
      <c r="G9" s="90"/>
    </row>
    <row r="10" spans="1:9" x14ac:dyDescent="0.2">
      <c r="A10" s="91"/>
      <c r="B10" s="7"/>
      <c r="C10" s="7"/>
      <c r="D10" s="7"/>
      <c r="E10" s="7"/>
      <c r="F10" s="7"/>
      <c r="G10" s="92"/>
    </row>
    <row r="11" spans="1:9" x14ac:dyDescent="0.2">
      <c r="A11" s="93" t="s">
        <v>0</v>
      </c>
      <c r="B11" s="139" t="s">
        <v>66</v>
      </c>
      <c r="C11" s="139" t="s">
        <v>68</v>
      </c>
      <c r="D11" s="139" t="s">
        <v>70</v>
      </c>
      <c r="E11" s="139" t="s">
        <v>76</v>
      </c>
      <c r="F11" s="139" t="s">
        <v>77</v>
      </c>
      <c r="G11" s="140" t="s">
        <v>1</v>
      </c>
    </row>
    <row r="12" spans="1:9" x14ac:dyDescent="0.2">
      <c r="A12" s="87" t="s">
        <v>2</v>
      </c>
      <c r="B12" s="3"/>
      <c r="C12" s="3"/>
      <c r="D12" s="3"/>
      <c r="E12" s="62"/>
      <c r="F12" s="3"/>
      <c r="G12" s="109"/>
    </row>
    <row r="13" spans="1:9" x14ac:dyDescent="0.2">
      <c r="A13" s="87" t="s">
        <v>3</v>
      </c>
      <c r="B13" s="3">
        <v>356</v>
      </c>
      <c r="C13" s="3">
        <v>339</v>
      </c>
      <c r="D13" s="62">
        <v>289</v>
      </c>
      <c r="E13" s="3">
        <f>237+46</f>
        <v>283</v>
      </c>
      <c r="F13" s="3">
        <v>274</v>
      </c>
      <c r="G13" s="110">
        <f>AVERAGE(B13:F13)</f>
        <v>308.2</v>
      </c>
    </row>
    <row r="14" spans="1:9" x14ac:dyDescent="0.2">
      <c r="A14" s="87" t="s">
        <v>4</v>
      </c>
      <c r="B14" s="3">
        <v>61</v>
      </c>
      <c r="C14" s="3">
        <v>57</v>
      </c>
      <c r="D14" s="62">
        <v>62</v>
      </c>
      <c r="E14" s="3">
        <f>28+27</f>
        <v>55</v>
      </c>
      <c r="F14" s="3">
        <v>46</v>
      </c>
      <c r="G14" s="110">
        <f>AVERAGE(B14:F14)</f>
        <v>56.2</v>
      </c>
    </row>
    <row r="15" spans="1:9" x14ac:dyDescent="0.2">
      <c r="A15" s="87" t="s">
        <v>5</v>
      </c>
      <c r="B15" s="3">
        <f>SUM(B13:B14)</f>
        <v>417</v>
      </c>
      <c r="C15" s="3">
        <f>SUM(C13:C14)</f>
        <v>396</v>
      </c>
      <c r="D15" s="3">
        <f>SUM(D13:D14)</f>
        <v>351</v>
      </c>
      <c r="E15" s="62">
        <f>SUM(E13:E14)</f>
        <v>338</v>
      </c>
      <c r="F15" s="62">
        <f>SUM(F13:F14)</f>
        <v>320</v>
      </c>
      <c r="G15" s="94">
        <f>AVERAGE(B15:F15)</f>
        <v>364.4</v>
      </c>
    </row>
    <row r="16" spans="1:9" x14ac:dyDescent="0.2">
      <c r="A16" s="111" t="s">
        <v>61</v>
      </c>
      <c r="B16" s="9">
        <f>B13+(B14/3)</f>
        <v>376.33333333333331</v>
      </c>
      <c r="C16" s="9">
        <f>C13+(C14/3)</f>
        <v>358</v>
      </c>
      <c r="D16" s="9">
        <f>D13+(D14/3)</f>
        <v>309.66666666666669</v>
      </c>
      <c r="E16" s="63">
        <f>E13+(E14/3)</f>
        <v>301.33333333333331</v>
      </c>
      <c r="F16" s="63">
        <f>F13+(F14/3)</f>
        <v>289.33333333333331</v>
      </c>
      <c r="G16" s="94">
        <f>AVERAGE(B16:F16)</f>
        <v>326.93333333333328</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61</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3">
        <v>66</v>
      </c>
      <c r="C32" s="3">
        <v>69</v>
      </c>
      <c r="D32" s="3">
        <v>57</v>
      </c>
      <c r="E32" s="3">
        <v>69</v>
      </c>
      <c r="F32" s="3">
        <v>78</v>
      </c>
      <c r="G32" s="94">
        <f>AVERAGE(B32:F32)</f>
        <v>67.8</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6.3181818181818183</v>
      </c>
      <c r="C42" s="9">
        <f>C15/C32</f>
        <v>5.7391304347826084</v>
      </c>
      <c r="D42" s="9">
        <f>D15/D32</f>
        <v>6.1578947368421053</v>
      </c>
      <c r="E42" s="9">
        <f>E15/E32</f>
        <v>4.8985507246376816</v>
      </c>
      <c r="F42" s="9">
        <f>F15/F32</f>
        <v>4.1025641025641022</v>
      </c>
      <c r="G42" s="94">
        <f>AVERAGE(B42:F42)</f>
        <v>5.4432643634016626</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c r="C46" s="96"/>
      <c r="D46" s="96"/>
      <c r="E46" s="96"/>
      <c r="F46" s="96"/>
      <c r="G46" s="97" t="e">
        <f>AVERAGE(B46:F46)</f>
        <v>#DIV/0!</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8275</v>
      </c>
      <c r="C54" s="10">
        <v>8527</v>
      </c>
      <c r="D54" s="10">
        <v>8270</v>
      </c>
      <c r="E54" s="10">
        <v>7966</v>
      </c>
      <c r="F54" s="10">
        <v>7042</v>
      </c>
      <c r="G54" s="103">
        <f>AVERAGE(B54:F54)</f>
        <v>8016</v>
      </c>
    </row>
    <row r="55" spans="1:7" x14ac:dyDescent="0.2">
      <c r="A55" s="87" t="s">
        <v>12</v>
      </c>
      <c r="B55" s="10">
        <v>30</v>
      </c>
      <c r="C55" s="10">
        <v>6</v>
      </c>
      <c r="D55" s="10">
        <v>36</v>
      </c>
      <c r="E55" s="10">
        <v>27</v>
      </c>
      <c r="F55" s="10">
        <v>12</v>
      </c>
      <c r="G55" s="103">
        <f>AVERAGE(B55:F55)</f>
        <v>22.2</v>
      </c>
    </row>
    <row r="56" spans="1:7" ht="13.5" thickBot="1" x14ac:dyDescent="0.25">
      <c r="A56" s="98" t="s">
        <v>5</v>
      </c>
      <c r="B56" s="106">
        <f>SUM(B54:B55)</f>
        <v>8305</v>
      </c>
      <c r="C56" s="106">
        <f>SUM(C54:C55)</f>
        <v>8533</v>
      </c>
      <c r="D56" s="106">
        <f>SUM(D54:D55)</f>
        <v>8306</v>
      </c>
      <c r="E56" s="106">
        <f>SUM(E54:E55)</f>
        <v>7993</v>
      </c>
      <c r="F56" s="106">
        <f>SUM(F54:F55)</f>
        <v>7054</v>
      </c>
      <c r="G56" s="105">
        <f>AVERAGE(B56:F56)</f>
        <v>8038.2</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22.8</v>
      </c>
      <c r="C62" s="3">
        <v>22.4</v>
      </c>
      <c r="D62" s="3">
        <v>20</v>
      </c>
      <c r="E62" s="86">
        <v>18.3</v>
      </c>
      <c r="F62" s="86">
        <v>18.8</v>
      </c>
      <c r="G62" s="94">
        <f>AVERAGE(B62:F62)</f>
        <v>20.46</v>
      </c>
    </row>
    <row r="63" spans="1:7" ht="13.5" thickBot="1" x14ac:dyDescent="0.25">
      <c r="A63" s="98" t="s">
        <v>12</v>
      </c>
      <c r="B63" s="104">
        <v>6</v>
      </c>
      <c r="C63" s="104"/>
      <c r="D63" s="104"/>
      <c r="E63" s="104"/>
      <c r="F63" s="104"/>
      <c r="G63" s="97">
        <f>AVERAGE(B63:F63)</f>
        <v>6</v>
      </c>
    </row>
    <row r="64" spans="1:7" x14ac:dyDescent="0.2">
      <c r="A64"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11</v>
      </c>
      <c r="C70" s="3">
        <v>11</v>
      </c>
      <c r="D70" s="3">
        <v>10</v>
      </c>
      <c r="E70" s="3">
        <v>11</v>
      </c>
      <c r="F70" s="3">
        <v>10</v>
      </c>
      <c r="G70" s="94">
        <f>AVERAGE(B70:F70)</f>
        <v>10.6</v>
      </c>
    </row>
    <row r="71" spans="1:7" x14ac:dyDescent="0.2">
      <c r="A71" s="87" t="s">
        <v>4</v>
      </c>
      <c r="B71" s="3">
        <v>7</v>
      </c>
      <c r="C71" s="3">
        <v>7</v>
      </c>
      <c r="D71" s="3">
        <v>5</v>
      </c>
      <c r="E71" s="3">
        <v>4</v>
      </c>
      <c r="F71" s="3">
        <v>2</v>
      </c>
      <c r="G71" s="94">
        <f>AVERAGE(B71:F71)</f>
        <v>5</v>
      </c>
    </row>
    <row r="72" spans="1:7" x14ac:dyDescent="0.2">
      <c r="A72" s="87" t="s">
        <v>5</v>
      </c>
      <c r="B72" s="3">
        <f>SUM(B70:B71)</f>
        <v>18</v>
      </c>
      <c r="C72" s="3">
        <f>SUM(C70:C71)</f>
        <v>18</v>
      </c>
      <c r="D72" s="3">
        <f>SUM(D70:D71)</f>
        <v>15</v>
      </c>
      <c r="E72" s="3">
        <f>SUM(E70:E71)</f>
        <v>15</v>
      </c>
      <c r="F72" s="3">
        <f>SUM(F70:F71)</f>
        <v>12</v>
      </c>
      <c r="G72" s="94">
        <f>AVERAGE(B72:F72)</f>
        <v>15.6</v>
      </c>
    </row>
    <row r="73" spans="1:7" ht="13.5" thickBot="1" x14ac:dyDescent="0.25">
      <c r="A73" s="95" t="s">
        <v>62</v>
      </c>
      <c r="B73" s="96">
        <f>B70+(B71/3)</f>
        <v>13.333333333333334</v>
      </c>
      <c r="C73" s="96">
        <f>C70+(C71/3)</f>
        <v>13.333333333333334</v>
      </c>
      <c r="D73" s="96">
        <f>D70+(D71/3)</f>
        <v>11.666666666666666</v>
      </c>
      <c r="E73" s="96">
        <f>E70+(E71/3)</f>
        <v>12.333333333333334</v>
      </c>
      <c r="F73" s="96">
        <f>F70+(F71/3)</f>
        <v>10.666666666666666</v>
      </c>
      <c r="G73" s="97">
        <f>AVERAGE(B73:F73)</f>
        <v>12.266666666666667</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28.224999999999998</v>
      </c>
      <c r="C80" s="96">
        <f>(C16+C25)/C73</f>
        <v>26.849999999999998</v>
      </c>
      <c r="D80" s="96">
        <f>(D16+D25)/D73</f>
        <v>26.542857142857144</v>
      </c>
      <c r="E80" s="96">
        <f>(E16+E25)/E73</f>
        <v>24.432432432432428</v>
      </c>
      <c r="F80" s="96">
        <f>(F16+F25)/F73</f>
        <v>27.125</v>
      </c>
      <c r="G80" s="97">
        <f>AVERAGE(B80:F80)</f>
        <v>26.63505791505791</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622.875</v>
      </c>
      <c r="C85" s="96">
        <f>C56/C73</f>
        <v>639.97500000000002</v>
      </c>
      <c r="D85" s="96">
        <f>D56/D73</f>
        <v>711.94285714285718</v>
      </c>
      <c r="E85" s="96">
        <f>E56/E73</f>
        <v>648.08108108108104</v>
      </c>
      <c r="F85" s="96">
        <f>F56/F73</f>
        <v>661.3125</v>
      </c>
      <c r="G85" s="97">
        <f>AVERAGE(B85:F85)</f>
        <v>656.83728764478769</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18">
        <v>920184</v>
      </c>
      <c r="C90" s="118">
        <v>966085</v>
      </c>
      <c r="D90" s="118">
        <f>1000539.98+20523.41</f>
        <v>1021063.39</v>
      </c>
      <c r="E90" s="100">
        <f>1110643.64+17250.78</f>
        <v>1127894.42</v>
      </c>
      <c r="F90" s="104"/>
      <c r="G90" s="101">
        <f>AVERAGE(B90:E90)</f>
        <v>1008806.7025</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110.79879590608067</v>
      </c>
      <c r="C95" s="102">
        <f>C90/C56</f>
        <v>113.21750849642564</v>
      </c>
      <c r="D95" s="102">
        <f>D90/D56</f>
        <v>122.9308198892367</v>
      </c>
      <c r="E95" s="102">
        <f>E90/E56</f>
        <v>141.11027398974102</v>
      </c>
      <c r="F95" s="102">
        <f>F90/F56</f>
        <v>0</v>
      </c>
      <c r="G95" s="101">
        <f>AVERAGE(B95:F95)</f>
        <v>97.611479656296808</v>
      </c>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opLeftCell="A46" zoomScaleNormal="100" workbookViewId="0">
      <selection activeCell="A6" sqref="A6"/>
    </sheetView>
  </sheetViews>
  <sheetFormatPr defaultRowHeight="12.75" x14ac:dyDescent="0.2"/>
  <cols>
    <col min="1" max="1" width="15.140625" customWidth="1"/>
    <col min="2" max="5" width="11.7109375" customWidth="1"/>
    <col min="6" max="6" width="11.7109375" style="16"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43" t="s">
        <v>65</v>
      </c>
      <c r="C6" s="142"/>
      <c r="D6" s="142"/>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127"/>
      <c r="G9" s="90"/>
    </row>
    <row r="10" spans="1:8" x14ac:dyDescent="0.2">
      <c r="A10" s="91"/>
      <c r="B10" s="7"/>
      <c r="C10" s="7"/>
      <c r="D10" s="7"/>
      <c r="E10" s="7"/>
      <c r="F10" s="42"/>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6"/>
      <c r="E12" s="65"/>
      <c r="F12" s="36"/>
      <c r="G12" s="109"/>
    </row>
    <row r="13" spans="1:8" x14ac:dyDescent="0.2">
      <c r="A13" s="87" t="s">
        <v>3</v>
      </c>
      <c r="B13" s="27"/>
      <c r="C13" s="46">
        <v>71</v>
      </c>
      <c r="D13" s="66">
        <v>129</v>
      </c>
      <c r="E13" s="36">
        <v>153</v>
      </c>
      <c r="F13" s="36">
        <v>141</v>
      </c>
      <c r="G13" s="110">
        <f>AVERAGE(B13:F13)</f>
        <v>123.5</v>
      </c>
    </row>
    <row r="14" spans="1:8" x14ac:dyDescent="0.2">
      <c r="A14" s="87" t="s">
        <v>4</v>
      </c>
      <c r="B14" s="27"/>
      <c r="C14" s="46">
        <v>7</v>
      </c>
      <c r="D14" s="66">
        <v>26</v>
      </c>
      <c r="E14" s="36">
        <v>24</v>
      </c>
      <c r="F14" s="36">
        <v>50</v>
      </c>
      <c r="G14" s="110">
        <f>AVERAGE(B14:F14)</f>
        <v>26.75</v>
      </c>
    </row>
    <row r="15" spans="1:8" x14ac:dyDescent="0.2">
      <c r="A15" s="87" t="s">
        <v>5</v>
      </c>
      <c r="B15" s="3"/>
      <c r="C15" s="3"/>
      <c r="D15" s="36">
        <f>SUM(D13:D14)</f>
        <v>155</v>
      </c>
      <c r="E15" s="65">
        <f>SUM(E13:E14)</f>
        <v>177</v>
      </c>
      <c r="F15" s="65">
        <f>SUM(F13:F14)</f>
        <v>191</v>
      </c>
      <c r="G15" s="94">
        <f>AVERAGE(B15:F15)</f>
        <v>174.33333333333334</v>
      </c>
    </row>
    <row r="16" spans="1:8" x14ac:dyDescent="0.2">
      <c r="A16" s="111" t="s">
        <v>61</v>
      </c>
      <c r="B16" s="9"/>
      <c r="C16" s="9"/>
      <c r="D16" s="26">
        <f>D13+(D14/3)</f>
        <v>137.66666666666666</v>
      </c>
      <c r="E16" s="67">
        <f>E13+(E14/3)</f>
        <v>161</v>
      </c>
      <c r="F16" s="67">
        <f>F13+(F14/3)</f>
        <v>157.66666666666666</v>
      </c>
      <c r="G16" s="94">
        <f>AVERAGE(B16:F16)</f>
        <v>152.11111111111109</v>
      </c>
    </row>
    <row r="17" spans="1:8" x14ac:dyDescent="0.2">
      <c r="A17" s="112"/>
      <c r="B17" s="7"/>
      <c r="C17" s="7"/>
      <c r="D17" s="42"/>
      <c r="E17" s="42"/>
      <c r="F17" s="42"/>
      <c r="G17" s="92"/>
    </row>
    <row r="18" spans="1:8" x14ac:dyDescent="0.2">
      <c r="A18" s="91"/>
      <c r="B18" s="7"/>
      <c r="C18" s="7"/>
      <c r="D18" s="42"/>
      <c r="E18" s="42"/>
      <c r="F18" s="42"/>
      <c r="G18" s="92"/>
    </row>
    <row r="19" spans="1:8" x14ac:dyDescent="0.2">
      <c r="A19" s="91"/>
      <c r="B19" s="7"/>
      <c r="C19" s="7"/>
      <c r="D19" s="42"/>
      <c r="E19" s="42"/>
      <c r="F19" s="42"/>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6"/>
      <c r="E21" s="65"/>
      <c r="F21" s="36"/>
      <c r="G21" s="110"/>
    </row>
    <row r="22" spans="1:8" x14ac:dyDescent="0.2">
      <c r="A22" s="87" t="s">
        <v>3</v>
      </c>
      <c r="B22" s="27"/>
      <c r="C22" s="41"/>
      <c r="D22" s="68"/>
      <c r="E22" s="36"/>
      <c r="F22" s="36"/>
      <c r="G22" s="110"/>
    </row>
    <row r="23" spans="1:8" x14ac:dyDescent="0.2">
      <c r="A23" s="87" t="s">
        <v>4</v>
      </c>
      <c r="B23" s="27"/>
      <c r="C23" s="41"/>
      <c r="D23" s="68"/>
      <c r="E23" s="36"/>
      <c r="F23" s="36"/>
      <c r="G23" s="110"/>
    </row>
    <row r="24" spans="1:8" x14ac:dyDescent="0.2">
      <c r="A24" s="87" t="s">
        <v>5</v>
      </c>
      <c r="B24" s="3"/>
      <c r="C24" s="3"/>
      <c r="D24" s="36"/>
      <c r="E24" s="65"/>
      <c r="F24" s="36"/>
      <c r="G24" s="110"/>
    </row>
    <row r="25" spans="1:8" ht="13.5" thickBot="1" x14ac:dyDescent="0.25">
      <c r="A25" s="95" t="s">
        <v>61</v>
      </c>
      <c r="B25" s="96"/>
      <c r="C25" s="96"/>
      <c r="D25" s="122"/>
      <c r="E25" s="131"/>
      <c r="F25" s="122"/>
      <c r="G25" s="114"/>
    </row>
    <row r="26" spans="1:8" x14ac:dyDescent="0.2">
      <c r="A26" s="5"/>
      <c r="B26" s="7"/>
      <c r="C26" s="7"/>
      <c r="D26" s="7"/>
      <c r="E26" s="7"/>
      <c r="F26" s="42"/>
      <c r="G26" s="7"/>
      <c r="H26" s="5"/>
    </row>
    <row r="28" spans="1:8" ht="13.5" thickBot="1" x14ac:dyDescent="0.25"/>
    <row r="29" spans="1:8" x14ac:dyDescent="0.2">
      <c r="A29" s="88" t="s">
        <v>25</v>
      </c>
      <c r="B29" s="89"/>
      <c r="C29" s="89"/>
      <c r="D29" s="89"/>
      <c r="E29" s="89"/>
      <c r="F29" s="127"/>
      <c r="G29" s="90"/>
    </row>
    <row r="30" spans="1:8" x14ac:dyDescent="0.2">
      <c r="A30" s="91"/>
      <c r="B30" s="7"/>
      <c r="C30" s="7"/>
      <c r="D30" s="7"/>
      <c r="E30" s="7"/>
      <c r="F30" s="42"/>
      <c r="G30" s="92"/>
    </row>
    <row r="31" spans="1:8" x14ac:dyDescent="0.2">
      <c r="A31" s="93" t="s">
        <v>0</v>
      </c>
      <c r="B31" s="139" t="s">
        <v>66</v>
      </c>
      <c r="C31" s="139" t="s">
        <v>68</v>
      </c>
      <c r="D31" s="139" t="s">
        <v>70</v>
      </c>
      <c r="E31" s="139" t="s">
        <v>76</v>
      </c>
      <c r="F31" s="139" t="s">
        <v>77</v>
      </c>
      <c r="G31" s="140" t="s">
        <v>1</v>
      </c>
    </row>
    <row r="32" spans="1:8" ht="25.5" x14ac:dyDescent="0.2">
      <c r="A32" s="107" t="s">
        <v>7</v>
      </c>
      <c r="B32" s="28"/>
      <c r="C32" s="43">
        <v>2</v>
      </c>
      <c r="D32" s="43">
        <v>10</v>
      </c>
      <c r="E32" s="36">
        <v>19</v>
      </c>
      <c r="F32" s="36">
        <v>34</v>
      </c>
      <c r="G32" s="94">
        <f>AVERAGE(B32:F32)</f>
        <v>16.25</v>
      </c>
    </row>
    <row r="33" spans="1:8" x14ac:dyDescent="0.2">
      <c r="A33" s="91"/>
      <c r="B33" s="7"/>
      <c r="C33" s="42"/>
      <c r="D33" s="42"/>
      <c r="E33" s="42"/>
      <c r="F33" s="42"/>
      <c r="G33" s="92"/>
    </row>
    <row r="34" spans="1:8" x14ac:dyDescent="0.2">
      <c r="A34" s="91"/>
      <c r="B34" s="7"/>
      <c r="C34" s="42"/>
      <c r="D34" s="42"/>
      <c r="E34" s="42"/>
      <c r="F34" s="42"/>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29"/>
      <c r="C36" s="130"/>
      <c r="D36" s="130"/>
      <c r="E36" s="128"/>
      <c r="F36" s="128"/>
      <c r="G36" s="97"/>
    </row>
    <row r="37" spans="1:8" ht="12.75" customHeight="1" x14ac:dyDescent="0.2"/>
    <row r="38" spans="1:8" ht="13.5" thickBot="1" x14ac:dyDescent="0.25"/>
    <row r="39" spans="1:8" x14ac:dyDescent="0.2">
      <c r="A39" s="88" t="s">
        <v>26</v>
      </c>
      <c r="B39" s="89"/>
      <c r="C39" s="89"/>
      <c r="D39" s="89"/>
      <c r="E39" s="89"/>
      <c r="F39" s="127"/>
      <c r="G39" s="90"/>
    </row>
    <row r="40" spans="1:8" x14ac:dyDescent="0.2">
      <c r="A40" s="91"/>
      <c r="B40" s="7"/>
      <c r="C40" s="7"/>
      <c r="D40" s="7"/>
      <c r="E40" s="7"/>
      <c r="F40" s="42"/>
      <c r="G40" s="92"/>
    </row>
    <row r="41" spans="1:8" x14ac:dyDescent="0.2">
      <c r="A41" s="93" t="s">
        <v>0</v>
      </c>
      <c r="B41" s="139" t="s">
        <v>66</v>
      </c>
      <c r="C41" s="139" t="s">
        <v>68</v>
      </c>
      <c r="D41" s="139" t="s">
        <v>70</v>
      </c>
      <c r="E41" s="139" t="s">
        <v>76</v>
      </c>
      <c r="F41" s="139" t="s">
        <v>77</v>
      </c>
      <c r="G41" s="140" t="s">
        <v>1</v>
      </c>
    </row>
    <row r="42" spans="1:8" x14ac:dyDescent="0.2">
      <c r="A42" s="87" t="s">
        <v>8</v>
      </c>
      <c r="B42" s="9"/>
      <c r="C42" s="9"/>
      <c r="D42" s="9">
        <f>D15/D32</f>
        <v>15.5</v>
      </c>
      <c r="E42" s="9">
        <f>E15/E32</f>
        <v>9.3157894736842106</v>
      </c>
      <c r="F42" s="9">
        <f>F15/F32</f>
        <v>5.617647058823529</v>
      </c>
      <c r="G42" s="94">
        <f>AVERAGE(B42:F42)</f>
        <v>10.144478844169248</v>
      </c>
    </row>
    <row r="43" spans="1:8" x14ac:dyDescent="0.2">
      <c r="A43" s="91"/>
      <c r="B43" s="7"/>
      <c r="C43" s="7"/>
      <c r="D43" s="7"/>
      <c r="E43" s="42"/>
      <c r="F43" s="42"/>
      <c r="G43" s="92"/>
    </row>
    <row r="44" spans="1:8" x14ac:dyDescent="0.2">
      <c r="A44" s="91"/>
      <c r="B44" s="7"/>
      <c r="C44" s="7"/>
      <c r="D44" s="7"/>
      <c r="E44" s="42"/>
      <c r="F44" s="42"/>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c r="C46" s="96"/>
      <c r="D46" s="96"/>
      <c r="E46" s="96"/>
      <c r="F46" s="96"/>
      <c r="G46" s="97"/>
    </row>
    <row r="47" spans="1:8" x14ac:dyDescent="0.2">
      <c r="A47" s="7"/>
      <c r="B47" s="13"/>
      <c r="C47" s="13"/>
      <c r="D47" s="13"/>
      <c r="E47" s="13"/>
      <c r="F47" s="44"/>
      <c r="G47" s="13"/>
      <c r="H47" s="51"/>
    </row>
    <row r="48" spans="1:8" x14ac:dyDescent="0.2">
      <c r="A48" s="7"/>
      <c r="B48" s="13"/>
      <c r="C48" s="13"/>
      <c r="D48" s="13"/>
      <c r="E48" s="13"/>
      <c r="F48" s="44"/>
      <c r="G48" s="13"/>
      <c r="H48" s="51"/>
    </row>
    <row r="50" spans="1:7" ht="13.5" thickBot="1" x14ac:dyDescent="0.25"/>
    <row r="51" spans="1:7" x14ac:dyDescent="0.2">
      <c r="A51" s="88" t="s">
        <v>9</v>
      </c>
      <c r="B51" s="89"/>
      <c r="C51" s="89"/>
      <c r="D51" s="89"/>
      <c r="E51" s="89"/>
      <c r="F51" s="127"/>
      <c r="G51" s="90"/>
    </row>
    <row r="52" spans="1:7" x14ac:dyDescent="0.2">
      <c r="A52" s="91"/>
      <c r="B52" s="7"/>
      <c r="C52" s="7"/>
      <c r="D52" s="7"/>
      <c r="E52" s="7"/>
      <c r="F52" s="42"/>
      <c r="G52" s="92"/>
    </row>
    <row r="53" spans="1:7" x14ac:dyDescent="0.2">
      <c r="A53" s="93" t="s">
        <v>10</v>
      </c>
      <c r="B53" s="139" t="s">
        <v>66</v>
      </c>
      <c r="C53" s="139" t="s">
        <v>68</v>
      </c>
      <c r="D53" s="139" t="s">
        <v>70</v>
      </c>
      <c r="E53" s="139" t="s">
        <v>76</v>
      </c>
      <c r="F53" s="139" t="s">
        <v>77</v>
      </c>
      <c r="G53" s="140" t="s">
        <v>1</v>
      </c>
    </row>
    <row r="54" spans="1:7" x14ac:dyDescent="0.2">
      <c r="A54" s="87" t="s">
        <v>53</v>
      </c>
      <c r="B54" s="10">
        <v>1071</v>
      </c>
      <c r="C54" s="45">
        <v>1086</v>
      </c>
      <c r="D54" s="45">
        <v>1257</v>
      </c>
      <c r="E54" s="45">
        <v>1634</v>
      </c>
      <c r="F54" s="45">
        <v>1946</v>
      </c>
      <c r="G54" s="103">
        <f>AVERAGE(B54:F54)</f>
        <v>1398.8</v>
      </c>
    </row>
    <row r="55" spans="1:7" x14ac:dyDescent="0.2">
      <c r="A55" s="87" t="s">
        <v>12</v>
      </c>
      <c r="B55" s="10"/>
      <c r="C55" s="45"/>
      <c r="D55" s="45"/>
      <c r="E55" s="45"/>
      <c r="F55" s="45"/>
      <c r="G55" s="103"/>
    </row>
    <row r="56" spans="1:7" ht="13.5" thickBot="1" x14ac:dyDescent="0.25">
      <c r="A56" s="98" t="s">
        <v>5</v>
      </c>
      <c r="B56" s="106">
        <f>SUM(B54:B55)</f>
        <v>1071</v>
      </c>
      <c r="C56" s="106">
        <f>SUM(C54:C55)</f>
        <v>1086</v>
      </c>
      <c r="D56" s="106">
        <f>SUM(D54:D55)</f>
        <v>1257</v>
      </c>
      <c r="E56" s="106">
        <f>SUM(E54:E55)</f>
        <v>1634</v>
      </c>
      <c r="F56" s="106">
        <f>SUM(F54:F55)</f>
        <v>1946</v>
      </c>
      <c r="G56" s="105">
        <f>AVERAGE(B56:F56)</f>
        <v>1398.8</v>
      </c>
    </row>
    <row r="58" spans="1:7" ht="13.5" thickBot="1" x14ac:dyDescent="0.25"/>
    <row r="59" spans="1:7" x14ac:dyDescent="0.2">
      <c r="A59" s="88" t="s">
        <v>74</v>
      </c>
      <c r="B59" s="89"/>
      <c r="C59" s="89"/>
      <c r="D59" s="89"/>
      <c r="E59" s="89"/>
      <c r="F59" s="127"/>
      <c r="G59" s="90"/>
    </row>
    <row r="60" spans="1:7" x14ac:dyDescent="0.2">
      <c r="A60" s="91"/>
      <c r="B60" s="7"/>
      <c r="C60" s="7"/>
      <c r="D60" s="7"/>
      <c r="E60" s="7"/>
      <c r="F60" s="42"/>
      <c r="G60" s="92"/>
    </row>
    <row r="61" spans="1:7" x14ac:dyDescent="0.2">
      <c r="A61" s="93" t="s">
        <v>11</v>
      </c>
      <c r="B61" s="139" t="s">
        <v>66</v>
      </c>
      <c r="C61" s="139" t="s">
        <v>68</v>
      </c>
      <c r="D61" s="139" t="s">
        <v>70</v>
      </c>
      <c r="E61" s="139" t="s">
        <v>76</v>
      </c>
      <c r="F61" s="139" t="s">
        <v>77</v>
      </c>
      <c r="G61" s="140" t="s">
        <v>1</v>
      </c>
    </row>
    <row r="62" spans="1:7" x14ac:dyDescent="0.2">
      <c r="A62" s="87" t="s">
        <v>53</v>
      </c>
      <c r="B62" s="3">
        <v>17.100000000000001</v>
      </c>
      <c r="C62" s="36">
        <v>18.100000000000001</v>
      </c>
      <c r="D62" s="36">
        <v>18.2</v>
      </c>
      <c r="E62" s="86">
        <v>19.3</v>
      </c>
      <c r="F62" s="86">
        <v>20.6</v>
      </c>
      <c r="G62" s="94">
        <f>AVERAGE(B62:F62)</f>
        <v>18.660000000000004</v>
      </c>
    </row>
    <row r="63" spans="1:7" ht="13.5" thickBot="1" x14ac:dyDescent="0.25">
      <c r="A63" s="98" t="s">
        <v>12</v>
      </c>
      <c r="B63" s="104"/>
      <c r="C63" s="128"/>
      <c r="D63" s="128"/>
      <c r="E63" s="128"/>
      <c r="F63" s="128"/>
      <c r="G63" s="97"/>
    </row>
    <row r="64" spans="1:7" x14ac:dyDescent="0.2">
      <c r="A64" s="14"/>
    </row>
    <row r="65" spans="1:7" x14ac:dyDescent="0.2">
      <c r="A65" s="14"/>
    </row>
    <row r="66" spans="1:7" ht="13.5" thickBot="1" x14ac:dyDescent="0.25"/>
    <row r="67" spans="1:7" x14ac:dyDescent="0.2">
      <c r="A67" s="88" t="s">
        <v>60</v>
      </c>
      <c r="B67" s="89"/>
      <c r="C67" s="89"/>
      <c r="D67" s="89"/>
      <c r="E67" s="89"/>
      <c r="F67" s="127"/>
      <c r="G67" s="90"/>
    </row>
    <row r="68" spans="1:7" x14ac:dyDescent="0.2">
      <c r="A68" s="91"/>
      <c r="B68" s="7"/>
      <c r="C68" s="7"/>
      <c r="D68" s="7"/>
      <c r="E68" s="7"/>
      <c r="F68" s="42"/>
      <c r="G68" s="92"/>
    </row>
    <row r="69" spans="1:7" x14ac:dyDescent="0.2">
      <c r="A69" s="93" t="s">
        <v>13</v>
      </c>
      <c r="B69" s="139" t="s">
        <v>66</v>
      </c>
      <c r="C69" s="139" t="s">
        <v>68</v>
      </c>
      <c r="D69" s="139" t="s">
        <v>70</v>
      </c>
      <c r="E69" s="139" t="s">
        <v>76</v>
      </c>
      <c r="F69" s="139" t="s">
        <v>77</v>
      </c>
      <c r="G69" s="140" t="s">
        <v>1</v>
      </c>
    </row>
    <row r="70" spans="1:7" x14ac:dyDescent="0.2">
      <c r="A70" s="87" t="s">
        <v>3</v>
      </c>
      <c r="B70" s="3">
        <v>2</v>
      </c>
      <c r="C70" s="36">
        <v>2</v>
      </c>
      <c r="D70" s="36">
        <v>3</v>
      </c>
      <c r="E70" s="36">
        <v>3</v>
      </c>
      <c r="F70" s="36">
        <v>3</v>
      </c>
      <c r="G70" s="94">
        <f>AVERAGE(B70:F70)</f>
        <v>2.6</v>
      </c>
    </row>
    <row r="71" spans="1:7" x14ac:dyDescent="0.2">
      <c r="A71" s="87" t="s">
        <v>4</v>
      </c>
      <c r="B71" s="3">
        <v>1</v>
      </c>
      <c r="C71" s="36">
        <v>1</v>
      </c>
      <c r="D71" s="36">
        <v>0</v>
      </c>
      <c r="E71" s="36">
        <v>2</v>
      </c>
      <c r="F71" s="36">
        <v>5</v>
      </c>
      <c r="G71" s="94">
        <f>AVERAGE(B71:F71)</f>
        <v>1.8</v>
      </c>
    </row>
    <row r="72" spans="1:7" x14ac:dyDescent="0.2">
      <c r="A72" s="87" t="s">
        <v>5</v>
      </c>
      <c r="B72" s="3">
        <f>SUM(B70:B71)</f>
        <v>3</v>
      </c>
      <c r="C72" s="3">
        <f>SUM(C70:C71)</f>
        <v>3</v>
      </c>
      <c r="D72" s="3">
        <f>SUM(D70:D71)</f>
        <v>3</v>
      </c>
      <c r="E72" s="3">
        <f>SUM(E70:E71)</f>
        <v>5</v>
      </c>
      <c r="F72" s="3">
        <f>SUM(F70:F71)</f>
        <v>8</v>
      </c>
      <c r="G72" s="94">
        <f>AVERAGE(B72:F72)</f>
        <v>4.4000000000000004</v>
      </c>
    </row>
    <row r="73" spans="1:7" ht="13.5" thickBot="1" x14ac:dyDescent="0.25">
      <c r="A73" s="95" t="s">
        <v>62</v>
      </c>
      <c r="B73" s="96">
        <f>B70+(B71/3)</f>
        <v>2.3333333333333335</v>
      </c>
      <c r="C73" s="96">
        <f>C70+(C71/3)</f>
        <v>2.3333333333333335</v>
      </c>
      <c r="D73" s="96">
        <f>D70+(D71/3)</f>
        <v>3</v>
      </c>
      <c r="E73" s="96">
        <f>E70+(E71/3)</f>
        <v>3.6666666666666665</v>
      </c>
      <c r="F73" s="96">
        <f>F70+(F71/3)</f>
        <v>4.666666666666667</v>
      </c>
      <c r="G73" s="97">
        <f>AVERAGE(B73:F73)</f>
        <v>3.2</v>
      </c>
    </row>
    <row r="74" spans="1:7" x14ac:dyDescent="0.2">
      <c r="A74" s="5"/>
    </row>
    <row r="75" spans="1:7" x14ac:dyDescent="0.2">
      <c r="A75" s="5"/>
    </row>
    <row r="77" spans="1:7" ht="13.5" thickBot="1" x14ac:dyDescent="0.25"/>
    <row r="78" spans="1:7" x14ac:dyDescent="0.2">
      <c r="A78" s="88" t="s">
        <v>24</v>
      </c>
      <c r="B78" s="89"/>
      <c r="C78" s="89"/>
      <c r="D78" s="89"/>
      <c r="E78" s="89"/>
      <c r="F78" s="127"/>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0</v>
      </c>
      <c r="C80" s="96">
        <f>(C16+C25)/C73</f>
        <v>0</v>
      </c>
      <c r="D80" s="96">
        <f>(D16+D25)/D73</f>
        <v>45.888888888888886</v>
      </c>
      <c r="E80" s="96">
        <f>(E16+E25)/E73</f>
        <v>43.909090909090914</v>
      </c>
      <c r="F80" s="96">
        <f>(F16+F25)/F73</f>
        <v>33.785714285714285</v>
      </c>
      <c r="G80" s="97">
        <f>AVERAGE(B80:F80)</f>
        <v>24.716738816738815</v>
      </c>
    </row>
    <row r="81" spans="1:8" x14ac:dyDescent="0.2">
      <c r="B81" s="7"/>
      <c r="C81" s="7"/>
      <c r="D81" s="7"/>
      <c r="E81" s="7"/>
      <c r="G81" s="42"/>
      <c r="H81" s="5"/>
    </row>
    <row r="82" spans="1:8" ht="13.5" thickBot="1" x14ac:dyDescent="0.25"/>
    <row r="83" spans="1:8" x14ac:dyDescent="0.2">
      <c r="A83" s="88" t="s">
        <v>75</v>
      </c>
      <c r="B83" s="89"/>
      <c r="C83" s="89"/>
      <c r="D83" s="89"/>
      <c r="E83" s="89"/>
      <c r="F83" s="127"/>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458.99999999999994</v>
      </c>
      <c r="C85" s="96">
        <f>C56/C73</f>
        <v>465.42857142857139</v>
      </c>
      <c r="D85" s="96">
        <f>D56/D73</f>
        <v>419</v>
      </c>
      <c r="E85" s="96">
        <f>E56/E73</f>
        <v>445.63636363636363</v>
      </c>
      <c r="F85" s="96">
        <f>F56/F73</f>
        <v>417</v>
      </c>
      <c r="G85" s="97">
        <f>AVERAGE(B85:F85)</f>
        <v>441.21298701298701</v>
      </c>
    </row>
    <row r="86" spans="1:8" x14ac:dyDescent="0.2">
      <c r="B86" s="7"/>
      <c r="C86" s="7"/>
      <c r="D86" s="7"/>
      <c r="E86" s="7"/>
      <c r="F86" s="42"/>
      <c r="G86" s="7"/>
      <c r="H86" s="5"/>
    </row>
    <row r="87" spans="1:8" ht="13.5" thickBot="1" x14ac:dyDescent="0.25"/>
    <row r="88" spans="1:8" x14ac:dyDescent="0.2">
      <c r="A88" s="88" t="s">
        <v>58</v>
      </c>
      <c r="B88" s="89"/>
      <c r="C88" s="89"/>
      <c r="D88" s="89"/>
      <c r="E88" s="89"/>
      <c r="F88" s="127"/>
      <c r="G88" s="90"/>
    </row>
    <row r="89" spans="1:8" x14ac:dyDescent="0.2">
      <c r="A89" s="91"/>
      <c r="B89" s="139" t="s">
        <v>66</v>
      </c>
      <c r="C89" s="139" t="s">
        <v>68</v>
      </c>
      <c r="D89" s="139" t="s">
        <v>70</v>
      </c>
      <c r="E89" s="139" t="s">
        <v>76</v>
      </c>
      <c r="F89" s="147" t="s">
        <v>81</v>
      </c>
      <c r="G89" s="140" t="s">
        <v>1</v>
      </c>
    </row>
    <row r="90" spans="1:8" ht="13.5" thickBot="1" x14ac:dyDescent="0.25">
      <c r="A90" s="98" t="s">
        <v>15</v>
      </c>
      <c r="B90" s="100">
        <v>293506</v>
      </c>
      <c r="C90" s="125">
        <v>314337</v>
      </c>
      <c r="D90" s="125">
        <f>343097.4+5793</f>
        <v>348890.4</v>
      </c>
      <c r="E90" s="125">
        <f>327294.04+5583</f>
        <v>332877.03999999998</v>
      </c>
      <c r="F90" s="128"/>
      <c r="G90" s="101">
        <f>AVERAGE(B90:E90)</f>
        <v>322402.61</v>
      </c>
    </row>
    <row r="91" spans="1:8" x14ac:dyDescent="0.2">
      <c r="A91" s="148" t="s">
        <v>80</v>
      </c>
      <c r="B91" s="7"/>
      <c r="C91" s="7"/>
      <c r="D91" s="7"/>
      <c r="E91" s="7"/>
      <c r="F91" s="42"/>
      <c r="G91" s="7"/>
      <c r="H91" s="5"/>
    </row>
    <row r="92" spans="1:8" ht="13.5" thickBot="1" x14ac:dyDescent="0.25"/>
    <row r="93" spans="1:8" x14ac:dyDescent="0.2">
      <c r="A93" s="88" t="s">
        <v>54</v>
      </c>
      <c r="B93" s="89"/>
      <c r="C93" s="89"/>
      <c r="D93" s="89"/>
      <c r="E93" s="89"/>
      <c r="F93" s="127"/>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274.04855275443509</v>
      </c>
      <c r="C95" s="102">
        <f>C90/C56</f>
        <v>289.4447513812155</v>
      </c>
      <c r="D95" s="102">
        <f>D90/D56</f>
        <v>277.55799522673033</v>
      </c>
      <c r="E95" s="102">
        <f>E90/E56</f>
        <v>203.71911872705016</v>
      </c>
      <c r="F95" s="102">
        <f>F90/F56</f>
        <v>0</v>
      </c>
      <c r="G95" s="101">
        <f>AVERAGE(B95:F95)</f>
        <v>208.95408361788623</v>
      </c>
    </row>
  </sheetData>
  <mergeCells count="3">
    <mergeCell ref="A1:G1"/>
    <mergeCell ref="A2:G2"/>
    <mergeCell ref="A4:G4"/>
  </mergeCells>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43" t="s">
        <v>20</v>
      </c>
      <c r="C6" s="142"/>
      <c r="D6" s="142"/>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3">
        <v>193</v>
      </c>
      <c r="C13" s="3">
        <v>179</v>
      </c>
      <c r="D13" s="62">
        <v>171</v>
      </c>
      <c r="E13" s="8">
        <v>144</v>
      </c>
      <c r="F13" s="8">
        <v>136</v>
      </c>
      <c r="G13" s="110">
        <f>AVERAGE(B13:F13)</f>
        <v>164.6</v>
      </c>
    </row>
    <row r="14" spans="1:8" x14ac:dyDescent="0.2">
      <c r="A14" s="87" t="s">
        <v>4</v>
      </c>
      <c r="B14" s="3">
        <v>18</v>
      </c>
      <c r="C14" s="3">
        <v>29</v>
      </c>
      <c r="D14" s="62">
        <v>29</v>
      </c>
      <c r="E14" s="3">
        <v>23</v>
      </c>
      <c r="F14" s="3">
        <v>22</v>
      </c>
      <c r="G14" s="110">
        <f>AVERAGE(B14:F14)</f>
        <v>24.2</v>
      </c>
    </row>
    <row r="15" spans="1:8" x14ac:dyDescent="0.2">
      <c r="A15" s="87" t="s">
        <v>5</v>
      </c>
      <c r="B15" s="3">
        <f>SUM(B13:B14)</f>
        <v>211</v>
      </c>
      <c r="C15" s="3">
        <f>SUM(C13:C14)</f>
        <v>208</v>
      </c>
      <c r="D15" s="3">
        <f>SUM(D13:D14)</f>
        <v>200</v>
      </c>
      <c r="E15" s="62">
        <f>SUM(E13:E14)</f>
        <v>167</v>
      </c>
      <c r="F15" s="62">
        <f>SUM(F13:F14)</f>
        <v>158</v>
      </c>
      <c r="G15" s="94">
        <f>AVERAGE(B15:F15)</f>
        <v>188.8</v>
      </c>
    </row>
    <row r="16" spans="1:8" x14ac:dyDescent="0.2">
      <c r="A16" s="111" t="s">
        <v>61</v>
      </c>
      <c r="B16" s="9">
        <f>B13+(B14/3)</f>
        <v>199</v>
      </c>
      <c r="C16" s="9">
        <f>C13+(C14/3)</f>
        <v>188.66666666666666</v>
      </c>
      <c r="D16" s="9">
        <f>D13+(D14/3)</f>
        <v>180.66666666666666</v>
      </c>
      <c r="E16" s="63">
        <f>E13+(E14/3)</f>
        <v>151.66666666666666</v>
      </c>
      <c r="F16" s="63">
        <f>F13+(F14/3)</f>
        <v>143.33333333333334</v>
      </c>
      <c r="G16" s="94">
        <f>AVERAGE(B16:F16)</f>
        <v>172.66666666666666</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v>8</v>
      </c>
      <c r="C22" s="3">
        <v>6</v>
      </c>
      <c r="D22" s="62">
        <v>6</v>
      </c>
      <c r="E22" s="3">
        <v>8</v>
      </c>
      <c r="F22" s="3">
        <v>7</v>
      </c>
      <c r="G22" s="110">
        <f>AVERAGE(B22:F22)</f>
        <v>7</v>
      </c>
    </row>
    <row r="23" spans="1:8" x14ac:dyDescent="0.2">
      <c r="A23" s="87" t="s">
        <v>4</v>
      </c>
      <c r="B23" s="3">
        <v>18</v>
      </c>
      <c r="C23" s="3">
        <v>20</v>
      </c>
      <c r="D23" s="62">
        <v>10</v>
      </c>
      <c r="E23" s="3">
        <v>9</v>
      </c>
      <c r="F23" s="3">
        <v>8</v>
      </c>
      <c r="G23" s="110">
        <f>AVERAGE(B23:F23)</f>
        <v>13</v>
      </c>
    </row>
    <row r="24" spans="1:8" x14ac:dyDescent="0.2">
      <c r="A24" s="87" t="s">
        <v>5</v>
      </c>
      <c r="B24" s="3">
        <f>SUM(B22:B23)</f>
        <v>26</v>
      </c>
      <c r="C24" s="3">
        <f>SUM(C22:C23)</f>
        <v>26</v>
      </c>
      <c r="D24" s="3">
        <f>SUM(D22:D23)</f>
        <v>16</v>
      </c>
      <c r="E24" s="62">
        <f>SUM(E22:E23)</f>
        <v>17</v>
      </c>
      <c r="F24" s="3">
        <f>SUM(F22:F23)</f>
        <v>15</v>
      </c>
      <c r="G24" s="110">
        <f>AVERAGE(B24:F24)</f>
        <v>20</v>
      </c>
    </row>
    <row r="25" spans="1:8" ht="13.5" thickBot="1" x14ac:dyDescent="0.25">
      <c r="A25" s="95" t="s">
        <v>61</v>
      </c>
      <c r="B25" s="96">
        <f>B22+(B23/3)</f>
        <v>14</v>
      </c>
      <c r="C25" s="96">
        <f>C22+(C23/3)</f>
        <v>12.666666666666668</v>
      </c>
      <c r="D25" s="96">
        <f>D22+(D23/3)</f>
        <v>9.3333333333333339</v>
      </c>
      <c r="E25" s="113">
        <f>E22+(E23/3)</f>
        <v>11</v>
      </c>
      <c r="F25" s="96">
        <f>F22+(F23/3)</f>
        <v>9.6666666666666661</v>
      </c>
      <c r="G25" s="114">
        <f>AVERAGE(B25:F25)</f>
        <v>11.333333333333332</v>
      </c>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3">
        <v>34</v>
      </c>
      <c r="C32" s="3">
        <v>28</v>
      </c>
      <c r="D32" s="3">
        <v>39</v>
      </c>
      <c r="E32" s="3">
        <v>35</v>
      </c>
      <c r="F32" s="3">
        <v>32</v>
      </c>
      <c r="G32" s="94">
        <f>AVERAGE(B32:F32)</f>
        <v>33.6</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v>4</v>
      </c>
      <c r="C36" s="104">
        <v>10</v>
      </c>
      <c r="D36" s="104">
        <v>6</v>
      </c>
      <c r="E36" s="104">
        <v>3</v>
      </c>
      <c r="F36" s="104">
        <v>3</v>
      </c>
      <c r="G36" s="97">
        <f>AVERAGE(B36:F36)</f>
        <v>5.2</v>
      </c>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6.2058823529411766</v>
      </c>
      <c r="C42" s="9">
        <f>C15/C32</f>
        <v>7.4285714285714288</v>
      </c>
      <c r="D42" s="9">
        <f>D15/D32</f>
        <v>5.1282051282051286</v>
      </c>
      <c r="E42" s="9">
        <f>E15/E32</f>
        <v>4.7714285714285714</v>
      </c>
      <c r="F42" s="9">
        <f>F15/F32</f>
        <v>4.9375</v>
      </c>
      <c r="G42" s="94">
        <f>AVERAGE(B42:F42)</f>
        <v>5.6943174962292611</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f>B24/B36</f>
        <v>6.5</v>
      </c>
      <c r="C46" s="96">
        <f>C24/C36</f>
        <v>2.6</v>
      </c>
      <c r="D46" s="96">
        <f>D24/D36</f>
        <v>2.6666666666666665</v>
      </c>
      <c r="E46" s="96">
        <f>E24/E36</f>
        <v>5.666666666666667</v>
      </c>
      <c r="F46" s="96">
        <f>F24/F36</f>
        <v>5</v>
      </c>
      <c r="G46" s="97">
        <f>AVERAGE(B46:F46)</f>
        <v>4.4866666666666664</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17502</v>
      </c>
      <c r="C54" s="10">
        <v>16955</v>
      </c>
      <c r="D54" s="10">
        <v>16179</v>
      </c>
      <c r="E54" s="10">
        <v>15655</v>
      </c>
      <c r="F54" s="10">
        <v>14829</v>
      </c>
      <c r="G54" s="103">
        <f>AVERAGE(B54:F54)</f>
        <v>16224</v>
      </c>
    </row>
    <row r="55" spans="1:7" x14ac:dyDescent="0.2">
      <c r="A55" s="87" t="s">
        <v>12</v>
      </c>
      <c r="B55" s="10">
        <v>417</v>
      </c>
      <c r="C55" s="10">
        <v>429</v>
      </c>
      <c r="D55" s="10">
        <v>303</v>
      </c>
      <c r="E55" s="10">
        <v>396</v>
      </c>
      <c r="F55" s="10">
        <v>354</v>
      </c>
      <c r="G55" s="103">
        <f>AVERAGE(B55:F55)</f>
        <v>379.8</v>
      </c>
    </row>
    <row r="56" spans="1:7" ht="13.5" thickBot="1" x14ac:dyDescent="0.25">
      <c r="A56" s="98" t="s">
        <v>5</v>
      </c>
      <c r="B56" s="106">
        <f>SUM(B54:B55)</f>
        <v>17919</v>
      </c>
      <c r="C56" s="106">
        <f>SUM(C54:C55)</f>
        <v>17384</v>
      </c>
      <c r="D56" s="106">
        <f>SUM(D54:D55)</f>
        <v>16482</v>
      </c>
      <c r="E56" s="106">
        <f>SUM(E54:E55)</f>
        <v>16051</v>
      </c>
      <c r="F56" s="106">
        <f>SUM(F54:F55)</f>
        <v>15183</v>
      </c>
      <c r="G56" s="105">
        <f>AVERAGE(B56:F56)</f>
        <v>16603.8</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25.1</v>
      </c>
      <c r="C62" s="3">
        <v>25.9</v>
      </c>
      <c r="D62" s="3">
        <v>23.2</v>
      </c>
      <c r="E62" s="86">
        <v>24</v>
      </c>
      <c r="F62" s="86">
        <v>22.8</v>
      </c>
      <c r="G62" s="94">
        <f>AVERAGE(B62:F62)</f>
        <v>24.2</v>
      </c>
    </row>
    <row r="63" spans="1:7" ht="13.5" thickBot="1" x14ac:dyDescent="0.25">
      <c r="A63" s="98" t="s">
        <v>12</v>
      </c>
      <c r="B63" s="104">
        <v>10</v>
      </c>
      <c r="C63" s="104">
        <v>8.1999999999999993</v>
      </c>
      <c r="D63" s="104">
        <v>8.5</v>
      </c>
      <c r="E63" s="104">
        <v>7.3</v>
      </c>
      <c r="F63" s="104">
        <v>8</v>
      </c>
      <c r="G63" s="97">
        <f>AVERAGE(B63:F63)</f>
        <v>8.4</v>
      </c>
    </row>
    <row r="64" spans="1:7" x14ac:dyDescent="0.2">
      <c r="A64" s="14"/>
    </row>
    <row r="65" spans="1:7" x14ac:dyDescent="0.2">
      <c r="A65"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21</v>
      </c>
      <c r="C70" s="3">
        <v>21</v>
      </c>
      <c r="D70" s="3">
        <v>21</v>
      </c>
      <c r="E70" s="3">
        <v>20</v>
      </c>
      <c r="F70" s="3">
        <v>20</v>
      </c>
      <c r="G70" s="94">
        <f>AVERAGE(B70:F70)</f>
        <v>20.6</v>
      </c>
    </row>
    <row r="71" spans="1:7" x14ac:dyDescent="0.2">
      <c r="A71" s="87" t="s">
        <v>4</v>
      </c>
      <c r="B71" s="3">
        <v>14</v>
      </c>
      <c r="C71" s="3">
        <v>16</v>
      </c>
      <c r="D71" s="3">
        <v>14</v>
      </c>
      <c r="E71" s="3">
        <v>13</v>
      </c>
      <c r="F71" s="3">
        <v>11</v>
      </c>
      <c r="G71" s="94">
        <f>AVERAGE(B71:F71)</f>
        <v>13.6</v>
      </c>
    </row>
    <row r="72" spans="1:7" x14ac:dyDescent="0.2">
      <c r="A72" s="87" t="s">
        <v>5</v>
      </c>
      <c r="B72" s="3">
        <f>SUM(B70:B71)</f>
        <v>35</v>
      </c>
      <c r="C72" s="3">
        <f>SUM(C70:C71)</f>
        <v>37</v>
      </c>
      <c r="D72" s="3">
        <f>SUM(D70:D71)</f>
        <v>35</v>
      </c>
      <c r="E72" s="3">
        <f>SUM(E70:E71)</f>
        <v>33</v>
      </c>
      <c r="F72" s="3">
        <f>SUM(F70:F71)</f>
        <v>31</v>
      </c>
      <c r="G72" s="94">
        <f>AVERAGE(B72:F72)</f>
        <v>34.200000000000003</v>
      </c>
    </row>
    <row r="73" spans="1:7" ht="13.5" thickBot="1" x14ac:dyDescent="0.25">
      <c r="A73" s="95" t="s">
        <v>62</v>
      </c>
      <c r="B73" s="96">
        <f>B70+(B71/3)</f>
        <v>25.666666666666668</v>
      </c>
      <c r="C73" s="96">
        <f>C70+(C71/3)</f>
        <v>26.333333333333332</v>
      </c>
      <c r="D73" s="96">
        <f>D70+(D71/3)</f>
        <v>25.666666666666668</v>
      </c>
      <c r="E73" s="96">
        <f>E70+(E71/3)</f>
        <v>24.333333333333332</v>
      </c>
      <c r="F73" s="96">
        <f>F70+(F71/3)</f>
        <v>23.666666666666668</v>
      </c>
      <c r="G73" s="97">
        <f>AVERAGE(B73:F73)</f>
        <v>25.133333333333333</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8.2987012987012978</v>
      </c>
      <c r="C80" s="96">
        <f>(C16+C25)/C73</f>
        <v>7.6455696202531644</v>
      </c>
      <c r="D80" s="96">
        <f>(D16+D25)/D73</f>
        <v>7.4025974025974026</v>
      </c>
      <c r="E80" s="96">
        <f>(E16+E25)/E73</f>
        <v>6.6849315068493151</v>
      </c>
      <c r="F80" s="96">
        <f>(F16+F25)/F73</f>
        <v>6.464788732394366</v>
      </c>
      <c r="G80" s="97">
        <f>AVERAGE(B80:F80)</f>
        <v>7.2993177121591106</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698.14285714285711</v>
      </c>
      <c r="C85" s="96">
        <f>C56/C73</f>
        <v>660.15189873417728</v>
      </c>
      <c r="D85" s="96">
        <f>D56/D73</f>
        <v>642.15584415584408</v>
      </c>
      <c r="E85" s="96">
        <f>E56/E73</f>
        <v>659.63013698630141</v>
      </c>
      <c r="F85" s="96">
        <f>F56/F73</f>
        <v>641.53521126760563</v>
      </c>
      <c r="G85" s="97">
        <f>AVERAGE(B85:F85)</f>
        <v>660.32318965735703</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v>1458226</v>
      </c>
      <c r="C90" s="100">
        <v>1530361</v>
      </c>
      <c r="D90" s="100">
        <v>1751393</v>
      </c>
      <c r="E90" s="100">
        <f>1711657.72</f>
        <v>1711657.72</v>
      </c>
      <c r="F90" s="104"/>
      <c r="G90" s="101">
        <f>AVERAGE(B90:E90)</f>
        <v>1612909.43</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81.378759975445064</v>
      </c>
      <c r="C95" s="102">
        <f>C90/C56</f>
        <v>88.032731247123792</v>
      </c>
      <c r="D95" s="102">
        <f>D90/D56</f>
        <v>106.26095134085669</v>
      </c>
      <c r="E95" s="102">
        <f>E90/E56</f>
        <v>106.63869665441405</v>
      </c>
      <c r="F95" s="102">
        <f>F90/F56</f>
        <v>0</v>
      </c>
      <c r="G95" s="101">
        <f>AVERAGE(B95:F95)</f>
        <v>76.462227843567916</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opLeftCell="A40"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62" t="s">
        <v>42</v>
      </c>
      <c r="C6" s="164"/>
      <c r="D6" s="164"/>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3">
        <v>53</v>
      </c>
      <c r="C13" s="3">
        <v>42</v>
      </c>
      <c r="D13" s="62">
        <v>48</v>
      </c>
      <c r="E13" s="3">
        <v>54</v>
      </c>
      <c r="F13" s="3">
        <v>53</v>
      </c>
      <c r="G13" s="110">
        <f>AVERAGE(B13:F13)</f>
        <v>50</v>
      </c>
    </row>
    <row r="14" spans="1:8" x14ac:dyDescent="0.2">
      <c r="A14" s="87" t="s">
        <v>4</v>
      </c>
      <c r="B14" s="3">
        <v>12</v>
      </c>
      <c r="C14" s="3">
        <v>12</v>
      </c>
      <c r="D14" s="62">
        <v>12</v>
      </c>
      <c r="E14" s="3">
        <v>3</v>
      </c>
      <c r="F14" s="3">
        <v>5</v>
      </c>
      <c r="G14" s="110">
        <f>AVERAGE(B14:F14)</f>
        <v>8.8000000000000007</v>
      </c>
    </row>
    <row r="15" spans="1:8" x14ac:dyDescent="0.2">
      <c r="A15" s="87" t="s">
        <v>5</v>
      </c>
      <c r="B15" s="3">
        <f>SUM(B13:B14)</f>
        <v>65</v>
      </c>
      <c r="C15" s="3">
        <f>SUM(C13:C14)</f>
        <v>54</v>
      </c>
      <c r="D15" s="3">
        <f>SUM(D13:D14)</f>
        <v>60</v>
      </c>
      <c r="E15" s="62">
        <f>SUM(E13:E14)</f>
        <v>57</v>
      </c>
      <c r="F15" s="62">
        <f>SUM(F13:F14)</f>
        <v>58</v>
      </c>
      <c r="G15" s="94">
        <f>AVERAGE(B15:F15)</f>
        <v>58.8</v>
      </c>
    </row>
    <row r="16" spans="1:8" x14ac:dyDescent="0.2">
      <c r="A16" s="111" t="s">
        <v>61</v>
      </c>
      <c r="B16" s="9">
        <f>B13+(B14/3)</f>
        <v>57</v>
      </c>
      <c r="C16" s="9">
        <f>C13+(C14/3)</f>
        <v>46</v>
      </c>
      <c r="D16" s="9">
        <f>D13+(D14/3)</f>
        <v>52</v>
      </c>
      <c r="E16" s="63">
        <f>E13+(E14/3)</f>
        <v>55</v>
      </c>
      <c r="F16" s="63">
        <f>F13+(F14/3)</f>
        <v>54.666666666666664</v>
      </c>
      <c r="G16" s="94">
        <f>AVERAGE(B16:F16)</f>
        <v>52.933333333333337</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09"/>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61</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3">
        <v>9</v>
      </c>
      <c r="C32" s="3">
        <v>5</v>
      </c>
      <c r="D32" s="3">
        <v>13</v>
      </c>
      <c r="E32" s="3">
        <v>9</v>
      </c>
      <c r="F32" s="3">
        <v>14</v>
      </c>
      <c r="G32" s="94">
        <f>AVERAGE(B32:F32)</f>
        <v>10</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7.2222222222222223</v>
      </c>
      <c r="C42" s="9">
        <f>C15/C32</f>
        <v>10.8</v>
      </c>
      <c r="D42" s="9">
        <f>D15/D32</f>
        <v>4.615384615384615</v>
      </c>
      <c r="E42" s="9">
        <f>E15/E32</f>
        <v>6.333333333333333</v>
      </c>
      <c r="F42" s="9">
        <f>F15/F32</f>
        <v>4.1428571428571432</v>
      </c>
      <c r="G42" s="94">
        <f>AVERAGE(B42:F42)</f>
        <v>6.622759462759463</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c r="C46" s="96"/>
      <c r="D46" s="96"/>
      <c r="E46" s="96"/>
      <c r="F46" s="96"/>
      <c r="G46" s="97"/>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3499</v>
      </c>
      <c r="C54" s="10">
        <v>4211</v>
      </c>
      <c r="D54" s="10">
        <v>3500</v>
      </c>
      <c r="E54" s="10">
        <v>3057</v>
      </c>
      <c r="F54" s="10">
        <v>3099</v>
      </c>
      <c r="G54" s="103">
        <f>AVERAGE(B54:F54)</f>
        <v>3473.2</v>
      </c>
    </row>
    <row r="55" spans="1:7" x14ac:dyDescent="0.2">
      <c r="A55" s="87" t="s">
        <v>12</v>
      </c>
      <c r="B55" s="10"/>
      <c r="C55" s="10"/>
      <c r="D55" s="10"/>
      <c r="E55" s="10"/>
      <c r="F55" s="10"/>
      <c r="G55" s="103"/>
    </row>
    <row r="56" spans="1:7" ht="13.5" thickBot="1" x14ac:dyDescent="0.25">
      <c r="A56" s="98" t="s">
        <v>5</v>
      </c>
      <c r="B56" s="106">
        <f>SUM(B54:B55)</f>
        <v>3499</v>
      </c>
      <c r="C56" s="106">
        <f>SUM(C54:C55)</f>
        <v>4211</v>
      </c>
      <c r="D56" s="106">
        <f>SUM(D54:D55)</f>
        <v>3500</v>
      </c>
      <c r="E56" s="106">
        <f>SUM(E54:E55)</f>
        <v>3057</v>
      </c>
      <c r="F56" s="106">
        <f>SUM(F54:F55)</f>
        <v>3099</v>
      </c>
      <c r="G56" s="105">
        <f>AVERAGE(B56:F56)</f>
        <v>3473.2</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17.100000000000001</v>
      </c>
      <c r="C62" s="3">
        <v>19.5</v>
      </c>
      <c r="D62" s="3">
        <v>16</v>
      </c>
      <c r="E62" s="86">
        <v>15.1</v>
      </c>
      <c r="F62" s="86">
        <v>13.3</v>
      </c>
      <c r="G62" s="94">
        <f>AVERAGE(B62:F62)</f>
        <v>16.2</v>
      </c>
    </row>
    <row r="63" spans="1:7" ht="13.5" thickBot="1" x14ac:dyDescent="0.25">
      <c r="A63" s="98" t="s">
        <v>12</v>
      </c>
      <c r="B63" s="104"/>
      <c r="C63" s="104"/>
      <c r="D63" s="104"/>
      <c r="E63" s="104"/>
      <c r="F63" s="104"/>
      <c r="G63" s="97"/>
    </row>
    <row r="64" spans="1:7" x14ac:dyDescent="0.2">
      <c r="A64" s="14"/>
    </row>
    <row r="65" spans="1:7" x14ac:dyDescent="0.2">
      <c r="A65"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5</v>
      </c>
      <c r="C70" s="3">
        <v>5</v>
      </c>
      <c r="D70" s="3">
        <v>5</v>
      </c>
      <c r="E70" s="3">
        <v>4</v>
      </c>
      <c r="F70" s="3">
        <v>5</v>
      </c>
      <c r="G70" s="94">
        <f>AVERAGE(B70:F70)</f>
        <v>4.8</v>
      </c>
    </row>
    <row r="71" spans="1:7" x14ac:dyDescent="0.2">
      <c r="A71" s="87" t="s">
        <v>4</v>
      </c>
      <c r="B71" s="3">
        <v>0</v>
      </c>
      <c r="C71" s="3">
        <v>0</v>
      </c>
      <c r="D71" s="3">
        <v>0</v>
      </c>
      <c r="E71" s="3">
        <v>3</v>
      </c>
      <c r="F71" s="3">
        <v>4</v>
      </c>
      <c r="G71" s="94">
        <f>AVERAGE(B71:F71)</f>
        <v>1.4</v>
      </c>
    </row>
    <row r="72" spans="1:7" x14ac:dyDescent="0.2">
      <c r="A72" s="87" t="s">
        <v>5</v>
      </c>
      <c r="B72" s="3">
        <f>SUM(B70:B71)</f>
        <v>5</v>
      </c>
      <c r="C72" s="3">
        <f>SUM(C70:C71)</f>
        <v>5</v>
      </c>
      <c r="D72" s="3">
        <f>SUM(D70:D71)</f>
        <v>5</v>
      </c>
      <c r="E72" s="3">
        <f>SUM(E70:E71)</f>
        <v>7</v>
      </c>
      <c r="F72" s="3">
        <f>SUM(F70:F71)</f>
        <v>9</v>
      </c>
      <c r="G72" s="94">
        <f>AVERAGE(B72:F72)</f>
        <v>6.2</v>
      </c>
    </row>
    <row r="73" spans="1:7" ht="13.5" thickBot="1" x14ac:dyDescent="0.25">
      <c r="A73" s="95" t="s">
        <v>62</v>
      </c>
      <c r="B73" s="96">
        <f>B70+(B71/3)</f>
        <v>5</v>
      </c>
      <c r="C73" s="96">
        <f>C70+(C71/3)</f>
        <v>5</v>
      </c>
      <c r="D73" s="96">
        <f>D70+(D71/3)</f>
        <v>5</v>
      </c>
      <c r="E73" s="96">
        <f>E70+(E71/3)</f>
        <v>5</v>
      </c>
      <c r="F73" s="96">
        <f>F70+(F71/3)</f>
        <v>6.333333333333333</v>
      </c>
      <c r="G73" s="97">
        <f>AVERAGE(B73:F73)</f>
        <v>5.2666666666666666</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11.4</v>
      </c>
      <c r="C80" s="96">
        <f>(C16+C25)/C73</f>
        <v>9.1999999999999993</v>
      </c>
      <c r="D80" s="96">
        <f>(D16+D25)/D73</f>
        <v>10.4</v>
      </c>
      <c r="E80" s="96">
        <f>(E16+E25)/E73</f>
        <v>11</v>
      </c>
      <c r="F80" s="96">
        <f>(F16+F25)/F73</f>
        <v>8.6315789473684212</v>
      </c>
      <c r="G80" s="97">
        <f>AVERAGE(B80:F80)</f>
        <v>10.126315789473685</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699.8</v>
      </c>
      <c r="C85" s="96">
        <f>C56/C73</f>
        <v>842.2</v>
      </c>
      <c r="D85" s="96">
        <f>D56/D73</f>
        <v>700</v>
      </c>
      <c r="E85" s="96">
        <f>E56/E73</f>
        <v>611.4</v>
      </c>
      <c r="F85" s="96">
        <f>F56/F73</f>
        <v>489.31578947368422</v>
      </c>
      <c r="G85" s="97">
        <f>AVERAGE(B85:F85)</f>
        <v>668.54315789473685</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v>452921</v>
      </c>
      <c r="C90" s="100">
        <v>446578</v>
      </c>
      <c r="D90" s="100">
        <f>535744.61+5191.68</f>
        <v>540936.29</v>
      </c>
      <c r="E90" s="100">
        <f>465104.78+6261.77</f>
        <v>471366.55000000005</v>
      </c>
      <c r="F90" s="104"/>
      <c r="G90" s="101">
        <f>AVERAGE(B90:E90)</f>
        <v>477950.46</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129.44298370963133</v>
      </c>
      <c r="C95" s="102">
        <f>C90/C56</f>
        <v>106.05034433626217</v>
      </c>
      <c r="D95" s="102">
        <f>D90/D56</f>
        <v>154.55322571428573</v>
      </c>
      <c r="E95" s="102">
        <f>E90/E56</f>
        <v>154.19252535165197</v>
      </c>
      <c r="F95" s="102">
        <f>F90/F56</f>
        <v>0</v>
      </c>
      <c r="G95" s="101">
        <f>AVERAGE(B95:F95)</f>
        <v>108.84781582236624</v>
      </c>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opLeftCell="A46"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43" t="s">
        <v>43</v>
      </c>
      <c r="C6" s="142"/>
      <c r="D6" s="142"/>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3">
        <v>141</v>
      </c>
      <c r="C13" s="3">
        <v>155</v>
      </c>
      <c r="D13" s="62">
        <v>121</v>
      </c>
      <c r="E13" s="3">
        <v>129</v>
      </c>
      <c r="F13" s="3">
        <v>106</v>
      </c>
      <c r="G13" s="110">
        <f>AVERAGE(B13:F13)</f>
        <v>130.4</v>
      </c>
    </row>
    <row r="14" spans="1:8" x14ac:dyDescent="0.2">
      <c r="A14" s="87" t="s">
        <v>4</v>
      </c>
      <c r="B14" s="3">
        <v>21</v>
      </c>
      <c r="C14" s="3">
        <v>14</v>
      </c>
      <c r="D14" s="62">
        <v>37</v>
      </c>
      <c r="E14" s="3">
        <v>24</v>
      </c>
      <c r="F14" s="3">
        <v>26</v>
      </c>
      <c r="G14" s="110">
        <f>AVERAGE(B14:F14)</f>
        <v>24.4</v>
      </c>
    </row>
    <row r="15" spans="1:8" x14ac:dyDescent="0.2">
      <c r="A15" s="87" t="s">
        <v>5</v>
      </c>
      <c r="B15" s="3">
        <f>SUM(B13:B14)</f>
        <v>162</v>
      </c>
      <c r="C15" s="3">
        <f>SUM(C13:C14)</f>
        <v>169</v>
      </c>
      <c r="D15" s="3">
        <f>SUM(D13:D14)</f>
        <v>158</v>
      </c>
      <c r="E15" s="62">
        <f>SUM(E13:E14)</f>
        <v>153</v>
      </c>
      <c r="F15" s="62">
        <f>SUM(F13:F14)</f>
        <v>132</v>
      </c>
      <c r="G15" s="94">
        <f>AVERAGE(B15:F15)</f>
        <v>154.80000000000001</v>
      </c>
    </row>
    <row r="16" spans="1:8" x14ac:dyDescent="0.2">
      <c r="A16" s="111" t="s">
        <v>61</v>
      </c>
      <c r="B16" s="9">
        <f>B13+(B14/3)</f>
        <v>148</v>
      </c>
      <c r="C16" s="9">
        <f>C13+(C14/3)</f>
        <v>159.66666666666666</v>
      </c>
      <c r="D16" s="9">
        <f>D13+(D14/3)</f>
        <v>133.33333333333334</v>
      </c>
      <c r="E16" s="63">
        <f>E13+(E14/3)</f>
        <v>137</v>
      </c>
      <c r="F16" s="63">
        <f>F13+(F14/3)</f>
        <v>114.66666666666667</v>
      </c>
      <c r="G16" s="94">
        <f>AVERAGE(B16:F16)</f>
        <v>138.53333333333333</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c r="C22" s="3">
        <v>6</v>
      </c>
      <c r="D22" s="62">
        <v>10</v>
      </c>
      <c r="E22" s="3">
        <v>8</v>
      </c>
      <c r="F22" s="3">
        <v>13</v>
      </c>
      <c r="G22" s="110">
        <f>AVERAGE(B22:F22)</f>
        <v>9.25</v>
      </c>
    </row>
    <row r="23" spans="1:8" x14ac:dyDescent="0.2">
      <c r="A23" s="87" t="s">
        <v>4</v>
      </c>
      <c r="B23" s="3"/>
      <c r="C23" s="3">
        <v>6</v>
      </c>
      <c r="D23" s="62">
        <v>6</v>
      </c>
      <c r="E23" s="3">
        <v>10</v>
      </c>
      <c r="F23" s="3">
        <v>5</v>
      </c>
      <c r="G23" s="110">
        <f>AVERAGE(B23:F23)</f>
        <v>6.75</v>
      </c>
    </row>
    <row r="24" spans="1:8" x14ac:dyDescent="0.2">
      <c r="A24" s="87" t="s">
        <v>5</v>
      </c>
      <c r="B24" s="3"/>
      <c r="C24" s="3"/>
      <c r="D24" s="3">
        <f>SUM(D22:D23)</f>
        <v>16</v>
      </c>
      <c r="E24" s="62">
        <f>SUM(E22:E23)</f>
        <v>18</v>
      </c>
      <c r="F24" s="3">
        <f>SUM(F22:F23)</f>
        <v>18</v>
      </c>
      <c r="G24" s="110">
        <f>AVERAGE(B24:F24)</f>
        <v>17.333333333333332</v>
      </c>
    </row>
    <row r="25" spans="1:8" ht="13.5" thickBot="1" x14ac:dyDescent="0.25">
      <c r="A25" s="95" t="s">
        <v>61</v>
      </c>
      <c r="B25" s="96"/>
      <c r="C25" s="96"/>
      <c r="D25" s="96">
        <f>D22+(D23/3)</f>
        <v>12</v>
      </c>
      <c r="E25" s="113">
        <f>E22+(E23/3)</f>
        <v>11.333333333333334</v>
      </c>
      <c r="F25" s="96">
        <f>F22+(F23/3)</f>
        <v>14.666666666666666</v>
      </c>
      <c r="G25" s="114">
        <f>AVERAGE(B25:F25)</f>
        <v>12.666666666666666</v>
      </c>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3">
        <v>26</v>
      </c>
      <c r="C32" s="3">
        <v>39</v>
      </c>
      <c r="D32" s="3">
        <v>43</v>
      </c>
      <c r="E32" s="3">
        <v>41</v>
      </c>
      <c r="F32" s="3">
        <v>38</v>
      </c>
      <c r="G32" s="94">
        <f>AVERAGE(B32:F32)</f>
        <v>37.4</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c r="C36" s="104"/>
      <c r="D36" s="104">
        <v>1</v>
      </c>
      <c r="E36" s="104">
        <v>4</v>
      </c>
      <c r="F36" s="104">
        <v>4</v>
      </c>
      <c r="G36" s="97">
        <f>AVERAGE(B36:F36)</f>
        <v>3</v>
      </c>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6.2307692307692308</v>
      </c>
      <c r="C42" s="9">
        <f>C15/C32</f>
        <v>4.333333333333333</v>
      </c>
      <c r="D42" s="9">
        <f>D15/D32</f>
        <v>3.6744186046511627</v>
      </c>
      <c r="E42" s="9">
        <f>E15/E32</f>
        <v>3.7317073170731709</v>
      </c>
      <c r="F42" s="9">
        <f>F15/F32</f>
        <v>3.4736842105263159</v>
      </c>
      <c r="G42" s="94">
        <f>AVERAGE(B42:F42)</f>
        <v>4.2887825392706427</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c r="C46" s="96"/>
      <c r="D46" s="96"/>
      <c r="E46" s="96">
        <f>E24/E36</f>
        <v>4.5</v>
      </c>
      <c r="F46" s="96">
        <f>F24/F36</f>
        <v>4.5</v>
      </c>
      <c r="G46" s="97">
        <f>AVERAGE(B46:F46)</f>
        <v>4.5</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5949</v>
      </c>
      <c r="C54" s="10">
        <v>6234</v>
      </c>
      <c r="D54" s="10">
        <v>5834</v>
      </c>
      <c r="E54" s="10">
        <v>5675</v>
      </c>
      <c r="F54" s="10">
        <v>5292</v>
      </c>
      <c r="G54" s="103">
        <f>AVERAGE(B54:F54)</f>
        <v>5796.8</v>
      </c>
    </row>
    <row r="55" spans="1:7" x14ac:dyDescent="0.2">
      <c r="A55" s="87" t="s">
        <v>12</v>
      </c>
      <c r="B55" s="10">
        <v>54</v>
      </c>
      <c r="C55" s="10">
        <v>135</v>
      </c>
      <c r="D55" s="10">
        <v>345</v>
      </c>
      <c r="E55" s="10">
        <v>345</v>
      </c>
      <c r="F55" s="10">
        <v>281</v>
      </c>
      <c r="G55" s="103">
        <f>AVERAGE(B55:F55)</f>
        <v>232</v>
      </c>
    </row>
    <row r="56" spans="1:7" ht="13.5" thickBot="1" x14ac:dyDescent="0.25">
      <c r="A56" s="98" t="s">
        <v>5</v>
      </c>
      <c r="B56" s="106">
        <f>SUM(B54:B55)</f>
        <v>6003</v>
      </c>
      <c r="C56" s="106">
        <f>SUM(C54:C55)</f>
        <v>6369</v>
      </c>
      <c r="D56" s="106">
        <f>SUM(D54:D55)</f>
        <v>6179</v>
      </c>
      <c r="E56" s="106">
        <f>SUM(E54:E55)</f>
        <v>6020</v>
      </c>
      <c r="F56" s="106">
        <f>SUM(F54:F55)</f>
        <v>5573</v>
      </c>
      <c r="G56" s="105">
        <f>AVERAGE(B56:F56)</f>
        <v>6028.8</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32.9</v>
      </c>
      <c r="C62" s="3">
        <v>35.4</v>
      </c>
      <c r="D62" s="3">
        <v>29.3</v>
      </c>
      <c r="E62" s="86">
        <v>24.1</v>
      </c>
      <c r="F62" s="86">
        <v>23.6</v>
      </c>
      <c r="G62" s="94">
        <f>AVERAGE(B62:F62)</f>
        <v>29.059999999999995</v>
      </c>
    </row>
    <row r="63" spans="1:7" ht="13.5" thickBot="1" x14ac:dyDescent="0.25">
      <c r="A63" s="98" t="s">
        <v>12</v>
      </c>
      <c r="B63" s="104">
        <v>14</v>
      </c>
      <c r="C63" s="104">
        <v>8.6999999999999993</v>
      </c>
      <c r="D63" s="104">
        <v>8.8000000000000007</v>
      </c>
      <c r="E63" s="104">
        <v>8.8000000000000007</v>
      </c>
      <c r="F63" s="104">
        <v>9</v>
      </c>
      <c r="G63" s="97">
        <f>AVERAGE(B63:F63)</f>
        <v>9.86</v>
      </c>
    </row>
    <row r="64" spans="1:7" x14ac:dyDescent="0.2">
      <c r="A64" s="14"/>
    </row>
    <row r="65" spans="1:7" x14ac:dyDescent="0.2">
      <c r="A65"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6</v>
      </c>
      <c r="C70" s="3">
        <v>7</v>
      </c>
      <c r="D70" s="3">
        <v>6</v>
      </c>
      <c r="E70" s="3">
        <v>8</v>
      </c>
      <c r="F70" s="3">
        <v>7</v>
      </c>
      <c r="G70" s="94">
        <f>AVERAGE(B70:F70)</f>
        <v>6.8</v>
      </c>
    </row>
    <row r="71" spans="1:7" x14ac:dyDescent="0.2">
      <c r="A71" s="87" t="s">
        <v>4</v>
      </c>
      <c r="B71" s="3">
        <v>1</v>
      </c>
      <c r="C71" s="3">
        <v>1</v>
      </c>
      <c r="D71" s="3">
        <v>2</v>
      </c>
      <c r="E71" s="3">
        <v>2</v>
      </c>
      <c r="F71" s="3">
        <v>4</v>
      </c>
      <c r="G71" s="94">
        <f>AVERAGE(B71:F71)</f>
        <v>2</v>
      </c>
    </row>
    <row r="72" spans="1:7" x14ac:dyDescent="0.2">
      <c r="A72" s="87" t="s">
        <v>5</v>
      </c>
      <c r="B72" s="3">
        <f>SUM(B70:B71)</f>
        <v>7</v>
      </c>
      <c r="C72" s="3">
        <f>SUM(C70:C71)</f>
        <v>8</v>
      </c>
      <c r="D72" s="3">
        <f>SUM(D70:D71)</f>
        <v>8</v>
      </c>
      <c r="E72" s="3">
        <f>SUM(E70:E71)</f>
        <v>10</v>
      </c>
      <c r="F72" s="3">
        <f>SUM(F70:F71)</f>
        <v>11</v>
      </c>
      <c r="G72" s="94">
        <f>AVERAGE(B72:F72)</f>
        <v>8.8000000000000007</v>
      </c>
    </row>
    <row r="73" spans="1:7" ht="13.5" thickBot="1" x14ac:dyDescent="0.25">
      <c r="A73" s="95" t="s">
        <v>62</v>
      </c>
      <c r="B73" s="96">
        <f>B70+(B71/3)</f>
        <v>6.333333333333333</v>
      </c>
      <c r="C73" s="96">
        <f>C70+(C71/3)</f>
        <v>7.333333333333333</v>
      </c>
      <c r="D73" s="96">
        <f>D70+(D71/3)</f>
        <v>6.666666666666667</v>
      </c>
      <c r="E73" s="96">
        <f>E70+(E71/3)</f>
        <v>8.6666666666666661</v>
      </c>
      <c r="F73" s="96">
        <f>F70+(F71/3)</f>
        <v>8.3333333333333339</v>
      </c>
      <c r="G73" s="97">
        <f>AVERAGE(B73:F73)</f>
        <v>7.4666666666666668</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 +B25)/B73</f>
        <v>23.368421052631579</v>
      </c>
      <c r="C80" s="96">
        <f>(C16 +C25)/C73</f>
        <v>21.772727272727273</v>
      </c>
      <c r="D80" s="96">
        <f>(D16 +D25)/D73</f>
        <v>21.8</v>
      </c>
      <c r="E80" s="96">
        <f>(E16 +E25)/E73</f>
        <v>17.115384615384617</v>
      </c>
      <c r="F80" s="96">
        <f>(F16 +F25)/F73</f>
        <v>15.52</v>
      </c>
      <c r="G80" s="97">
        <f>AVERAGE(B80:F80)</f>
        <v>19.915306588148692</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947.84210526315792</v>
      </c>
      <c r="C85" s="96">
        <f>C56/C73</f>
        <v>868.5</v>
      </c>
      <c r="D85" s="96">
        <f>D56/D73</f>
        <v>926.84999999999991</v>
      </c>
      <c r="E85" s="96">
        <f>E56/E73</f>
        <v>694.61538461538464</v>
      </c>
      <c r="F85" s="96">
        <f>F56/F73</f>
        <v>668.76</v>
      </c>
      <c r="G85" s="97">
        <f>AVERAGE(B85:F85)</f>
        <v>821.31349797570851</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v>605866</v>
      </c>
      <c r="C90" s="100">
        <v>685149</v>
      </c>
      <c r="D90" s="100">
        <f>693341.29+17151.96</f>
        <v>710493.25</v>
      </c>
      <c r="E90" s="100">
        <f>839527.61+9750.48</f>
        <v>849278.09</v>
      </c>
      <c r="F90" s="104"/>
      <c r="G90" s="101">
        <f>AVERAGE(B90:E90)</f>
        <v>712696.58499999996</v>
      </c>
    </row>
    <row r="91" spans="1:8" x14ac:dyDescent="0.2">
      <c r="A91" s="148" t="s">
        <v>80</v>
      </c>
      <c r="B91" s="11"/>
      <c r="C91" s="11"/>
      <c r="D91" s="11"/>
      <c r="E91" s="11"/>
      <c r="F91" s="11"/>
      <c r="G91" s="12"/>
      <c r="H91" s="56"/>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100.92720306513409</v>
      </c>
      <c r="C95" s="102">
        <f>C90/C56</f>
        <v>107.57560056523788</v>
      </c>
      <c r="D95" s="102">
        <f>D90/D56</f>
        <v>114.98515131898365</v>
      </c>
      <c r="E95" s="102">
        <f>E90/E56</f>
        <v>141.07609468438537</v>
      </c>
      <c r="F95" s="102">
        <f>F90/F56</f>
        <v>0</v>
      </c>
      <c r="G95" s="101">
        <f>AVERAGE(B95:F95)</f>
        <v>92.912809926748196</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abSelected="1" topLeftCell="A13" zoomScaleNormal="100" workbookViewId="0">
      <selection activeCell="A6" sqref="A6"/>
    </sheetView>
  </sheetViews>
  <sheetFormatPr defaultRowHeight="12.75" x14ac:dyDescent="0.2"/>
  <cols>
    <col min="1" max="1" width="13.8554687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60"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s="16" customFormat="1" x14ac:dyDescent="0.2">
      <c r="A6" s="142" t="s">
        <v>17</v>
      </c>
      <c r="B6" s="162" t="s">
        <v>40</v>
      </c>
      <c r="C6" s="162"/>
      <c r="D6" s="163"/>
      <c r="E6" s="15"/>
      <c r="F6" s="15"/>
      <c r="G6" s="15"/>
      <c r="H6" s="50"/>
    </row>
    <row r="7" spans="1:8" x14ac:dyDescent="0.2">
      <c r="A7" s="1" t="s">
        <v>45</v>
      </c>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s="2" customFormat="1" x14ac:dyDescent="0.2">
      <c r="A11" s="93" t="s">
        <v>0</v>
      </c>
      <c r="B11" s="139" t="s">
        <v>66</v>
      </c>
      <c r="C11" s="139" t="s">
        <v>68</v>
      </c>
      <c r="D11" s="139" t="s">
        <v>70</v>
      </c>
      <c r="E11" s="139" t="s">
        <v>76</v>
      </c>
      <c r="F11" s="139" t="s">
        <v>77</v>
      </c>
      <c r="G11" s="140" t="s">
        <v>1</v>
      </c>
      <c r="H11" s="19"/>
    </row>
    <row r="12" spans="1:8" x14ac:dyDescent="0.2">
      <c r="A12" s="87" t="s">
        <v>2</v>
      </c>
      <c r="B12" s="3"/>
      <c r="C12" s="3"/>
      <c r="D12" s="3"/>
      <c r="E12" s="62"/>
      <c r="F12" s="3"/>
      <c r="G12" s="109"/>
    </row>
    <row r="13" spans="1:8" x14ac:dyDescent="0.2">
      <c r="A13" s="87" t="s">
        <v>3</v>
      </c>
      <c r="B13" s="3">
        <v>174</v>
      </c>
      <c r="C13" s="3">
        <v>177</v>
      </c>
      <c r="D13" s="62">
        <v>158</v>
      </c>
      <c r="E13" s="3">
        <v>168</v>
      </c>
      <c r="F13" s="3">
        <v>182</v>
      </c>
      <c r="G13" s="110">
        <f>AVERAGE(B13:F13)</f>
        <v>171.8</v>
      </c>
    </row>
    <row r="14" spans="1:8" x14ac:dyDescent="0.2">
      <c r="A14" s="87" t="s">
        <v>4</v>
      </c>
      <c r="B14" s="3">
        <v>33</v>
      </c>
      <c r="C14" s="3">
        <v>45</v>
      </c>
      <c r="D14" s="62">
        <v>48</v>
      </c>
      <c r="E14" s="3">
        <v>37</v>
      </c>
      <c r="F14" s="3">
        <v>29</v>
      </c>
      <c r="G14" s="110">
        <f>AVERAGE(B14:F14)</f>
        <v>38.4</v>
      </c>
    </row>
    <row r="15" spans="1:8" x14ac:dyDescent="0.2">
      <c r="A15" s="87" t="s">
        <v>5</v>
      </c>
      <c r="B15" s="3">
        <f>SUM(B13:B14)</f>
        <v>207</v>
      </c>
      <c r="C15" s="3">
        <f>SUM(C13:C14)</f>
        <v>222</v>
      </c>
      <c r="D15" s="3">
        <f>SUM(D13:D14)</f>
        <v>206</v>
      </c>
      <c r="E15" s="62">
        <f>SUM(E13:E14)</f>
        <v>205</v>
      </c>
      <c r="F15" s="62">
        <f>SUM(F13:F14)</f>
        <v>211</v>
      </c>
      <c r="G15" s="94">
        <f>AVERAGE(B15:F15)</f>
        <v>210.2</v>
      </c>
    </row>
    <row r="16" spans="1:8" x14ac:dyDescent="0.2">
      <c r="A16" s="111" t="s">
        <v>61</v>
      </c>
      <c r="B16" s="9">
        <f>B13+(B14/3)</f>
        <v>185</v>
      </c>
      <c r="C16" s="9">
        <f>C13+(C14/3)</f>
        <v>192</v>
      </c>
      <c r="D16" s="9">
        <f>D13+(D14/3)</f>
        <v>174</v>
      </c>
      <c r="E16" s="63">
        <f>E13+(E14/3)</f>
        <v>180.33333333333334</v>
      </c>
      <c r="F16" s="63">
        <f>F13+(F14/3)</f>
        <v>191.66666666666666</v>
      </c>
      <c r="G16" s="94">
        <f>AVERAGE(B16:F16)</f>
        <v>184.6</v>
      </c>
    </row>
    <row r="17" spans="1:8" ht="12.75" customHeight="1" x14ac:dyDescent="0.2">
      <c r="A17" s="112"/>
      <c r="B17" s="7"/>
      <c r="C17" s="7"/>
      <c r="D17" s="7"/>
      <c r="E17" s="7"/>
      <c r="F17" s="7"/>
      <c r="G17" s="92"/>
    </row>
    <row r="18" spans="1:8" ht="12.75" customHeight="1" x14ac:dyDescent="0.2">
      <c r="A18" s="91"/>
      <c r="B18" s="7"/>
      <c r="C18" s="7"/>
      <c r="D18" s="7"/>
      <c r="E18" s="7"/>
      <c r="F18" s="7"/>
      <c r="G18" s="92"/>
    </row>
    <row r="19" spans="1:8" ht="12.75" customHeight="1" x14ac:dyDescent="0.2">
      <c r="A19" s="91"/>
      <c r="B19" s="7"/>
      <c r="C19" s="7"/>
      <c r="D19" s="7"/>
      <c r="E19" s="7"/>
      <c r="F19" s="7"/>
      <c r="G19" s="92"/>
    </row>
    <row r="20" spans="1:8" s="2" customFormat="1" x14ac:dyDescent="0.2">
      <c r="A20" s="93" t="s">
        <v>6</v>
      </c>
      <c r="B20" s="139" t="s">
        <v>66</v>
      </c>
      <c r="C20" s="139" t="s">
        <v>68</v>
      </c>
      <c r="D20" s="139" t="s">
        <v>70</v>
      </c>
      <c r="E20" s="139" t="s">
        <v>76</v>
      </c>
      <c r="F20" s="139" t="s">
        <v>77</v>
      </c>
      <c r="G20" s="140" t="s">
        <v>1</v>
      </c>
      <c r="H20" s="19"/>
    </row>
    <row r="21" spans="1:8" x14ac:dyDescent="0.2">
      <c r="A21" s="87" t="s">
        <v>2</v>
      </c>
      <c r="B21" s="3"/>
      <c r="C21" s="3"/>
      <c r="D21" s="3"/>
      <c r="E21" s="62"/>
      <c r="F21" s="3"/>
      <c r="G21" s="110"/>
    </row>
    <row r="22" spans="1:8" x14ac:dyDescent="0.2">
      <c r="A22" s="87" t="s">
        <v>3</v>
      </c>
      <c r="B22" s="3">
        <v>11</v>
      </c>
      <c r="C22" s="3">
        <v>9</v>
      </c>
      <c r="D22" s="62">
        <v>12</v>
      </c>
      <c r="E22" s="3">
        <v>5</v>
      </c>
      <c r="F22" s="3">
        <v>11</v>
      </c>
      <c r="G22" s="110">
        <f>AVERAGE(B22:F22)</f>
        <v>9.6</v>
      </c>
    </row>
    <row r="23" spans="1:8" x14ac:dyDescent="0.2">
      <c r="A23" s="87" t="s">
        <v>4</v>
      </c>
      <c r="B23" s="3">
        <v>26</v>
      </c>
      <c r="C23" s="3">
        <v>33</v>
      </c>
      <c r="D23" s="62">
        <v>28</v>
      </c>
      <c r="E23" s="3">
        <v>39</v>
      </c>
      <c r="F23" s="3">
        <v>34</v>
      </c>
      <c r="G23" s="110">
        <f>AVERAGE(B23:F23)</f>
        <v>32</v>
      </c>
    </row>
    <row r="24" spans="1:8" x14ac:dyDescent="0.2">
      <c r="A24" s="87" t="s">
        <v>5</v>
      </c>
      <c r="B24" s="3">
        <f>SUM(B22:B23)</f>
        <v>37</v>
      </c>
      <c r="C24" s="3">
        <f>SUM(C22:C23)</f>
        <v>42</v>
      </c>
      <c r="D24" s="3">
        <f>SUM(D22:D23)</f>
        <v>40</v>
      </c>
      <c r="E24" s="62">
        <f>SUM(E22:E23)</f>
        <v>44</v>
      </c>
      <c r="F24" s="3">
        <f>SUM(F22:F23)</f>
        <v>45</v>
      </c>
      <c r="G24" s="110">
        <f>AVERAGE(B24:F24)</f>
        <v>41.6</v>
      </c>
    </row>
    <row r="25" spans="1:8" ht="13.5" thickBot="1" x14ac:dyDescent="0.25">
      <c r="A25" s="95" t="s">
        <v>61</v>
      </c>
      <c r="B25" s="96">
        <f>B22+(B23/3)</f>
        <v>19.666666666666664</v>
      </c>
      <c r="C25" s="96">
        <f>C22+(C23/3)</f>
        <v>20</v>
      </c>
      <c r="D25" s="96">
        <f>D22+(D23/3)</f>
        <v>21.333333333333336</v>
      </c>
      <c r="E25" s="113">
        <f>E22+(E23/3)</f>
        <v>18</v>
      </c>
      <c r="F25" s="96">
        <f>F22+(F23/3)</f>
        <v>22.333333333333336</v>
      </c>
      <c r="G25" s="114">
        <f>AVERAGE(B25:F25)</f>
        <v>20.266666666666669</v>
      </c>
    </row>
    <row r="26" spans="1:8" x14ac:dyDescent="0.2">
      <c r="A26" s="5"/>
      <c r="B26" s="7"/>
      <c r="C26" s="7"/>
      <c r="D26" s="7"/>
      <c r="E26" s="7"/>
      <c r="F26" s="7"/>
      <c r="G26" s="7"/>
      <c r="H26" s="5"/>
    </row>
    <row r="27" spans="1:8" x14ac:dyDescent="0.2">
      <c r="A27"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customHeight="1" x14ac:dyDescent="0.2">
      <c r="A32" s="107" t="s">
        <v>7</v>
      </c>
      <c r="B32" s="8">
        <v>40</v>
      </c>
      <c r="C32" s="8">
        <v>40</v>
      </c>
      <c r="D32" s="8">
        <v>45</v>
      </c>
      <c r="E32" s="3">
        <v>26</v>
      </c>
      <c r="F32" s="3">
        <v>40</v>
      </c>
      <c r="G32" s="94">
        <f>AVERAGE(B32:F32)</f>
        <v>38.200000000000003</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5.5" customHeight="1" thickBot="1" x14ac:dyDescent="0.25">
      <c r="A36" s="108" t="s">
        <v>7</v>
      </c>
      <c r="B36" s="104">
        <v>8</v>
      </c>
      <c r="C36" s="104">
        <v>11</v>
      </c>
      <c r="D36" s="104">
        <v>7</v>
      </c>
      <c r="E36" s="104">
        <v>9</v>
      </c>
      <c r="F36" s="104">
        <v>11</v>
      </c>
      <c r="G36" s="97">
        <f>AVERAGE(B36:F36)</f>
        <v>9.1999999999999993</v>
      </c>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5.1749999999999998</v>
      </c>
      <c r="C42" s="9">
        <f>C15/C32</f>
        <v>5.55</v>
      </c>
      <c r="D42" s="9">
        <f>D15/D32</f>
        <v>4.5777777777777775</v>
      </c>
      <c r="E42" s="9">
        <f>E15/E32</f>
        <v>7.884615384615385</v>
      </c>
      <c r="F42" s="9">
        <f>F15/F32</f>
        <v>5.2750000000000004</v>
      </c>
      <c r="G42" s="94">
        <f>AVERAGE(B42:F42)</f>
        <v>5.6924786324786325</v>
      </c>
    </row>
    <row r="43" spans="1:8" x14ac:dyDescent="0.2">
      <c r="A43" s="91"/>
      <c r="B43" s="7"/>
      <c r="C43" s="7"/>
      <c r="D43" s="7"/>
      <c r="E43" s="7"/>
      <c r="F43" s="7"/>
      <c r="G43" s="92"/>
    </row>
    <row r="44" spans="1:8" x14ac:dyDescent="0.2">
      <c r="A44" s="91"/>
      <c r="B44" s="7"/>
      <c r="C44" s="7"/>
      <c r="D44" s="7"/>
      <c r="E44" s="7"/>
      <c r="F44" s="7"/>
      <c r="G44" s="92"/>
    </row>
    <row r="45" spans="1:8" ht="12.75" customHeight="1" x14ac:dyDescent="0.2">
      <c r="A45" s="93" t="s">
        <v>6</v>
      </c>
      <c r="B45" s="139" t="s">
        <v>66</v>
      </c>
      <c r="C45" s="139" t="s">
        <v>68</v>
      </c>
      <c r="D45" s="139" t="s">
        <v>70</v>
      </c>
      <c r="E45" s="139" t="s">
        <v>76</v>
      </c>
      <c r="F45" s="139" t="s">
        <v>77</v>
      </c>
      <c r="G45" s="140" t="s">
        <v>1</v>
      </c>
    </row>
    <row r="46" spans="1:8" ht="13.5" thickBot="1" x14ac:dyDescent="0.25">
      <c r="A46" s="98" t="s">
        <v>8</v>
      </c>
      <c r="B46" s="96">
        <f>B24/B36</f>
        <v>4.625</v>
      </c>
      <c r="C46" s="96">
        <f>C24/C36</f>
        <v>3.8181818181818183</v>
      </c>
      <c r="D46" s="96">
        <f>D24/D36</f>
        <v>5.7142857142857144</v>
      </c>
      <c r="E46" s="96">
        <f>E24/E36</f>
        <v>4.8888888888888893</v>
      </c>
      <c r="F46" s="96">
        <f>F24/F36</f>
        <v>4.0909090909090908</v>
      </c>
      <c r="G46" s="97">
        <f>AVERAGE(B46:F46)</f>
        <v>4.627453102453102</v>
      </c>
    </row>
    <row r="47" spans="1:8" ht="13.5" customHeight="1" x14ac:dyDescent="0.2">
      <c r="A47" s="7"/>
      <c r="B47" s="13"/>
      <c r="C47" s="13"/>
      <c r="D47" s="13"/>
      <c r="E47" s="13"/>
      <c r="F47" s="13"/>
      <c r="G47" s="13"/>
      <c r="H47" s="51"/>
    </row>
    <row r="48" spans="1:8" ht="13.5" customHeight="1" x14ac:dyDescent="0.2">
      <c r="A48" s="7"/>
      <c r="B48" s="13"/>
      <c r="C48" s="13"/>
      <c r="D48" s="13"/>
      <c r="E48" s="13"/>
      <c r="F48" s="13"/>
      <c r="G48" s="13"/>
      <c r="H48" s="51"/>
    </row>
    <row r="49" spans="1:7" ht="13.5" customHeight="1" x14ac:dyDescent="0.2"/>
    <row r="50" spans="1:7" ht="13.5" customHeight="1"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4545</v>
      </c>
      <c r="C54" s="10">
        <v>4392</v>
      </c>
      <c r="D54" s="10">
        <v>4353</v>
      </c>
      <c r="E54" s="10">
        <v>4275</v>
      </c>
      <c r="F54" s="10">
        <v>5169</v>
      </c>
      <c r="G54" s="103">
        <f>AVERAGE(B54:F54)</f>
        <v>4546.8</v>
      </c>
    </row>
    <row r="55" spans="1:7" x14ac:dyDescent="0.2">
      <c r="A55" s="87" t="s">
        <v>12</v>
      </c>
      <c r="B55" s="10">
        <v>1176</v>
      </c>
      <c r="C55" s="10">
        <v>1023</v>
      </c>
      <c r="D55" s="10">
        <v>1044</v>
      </c>
      <c r="E55" s="10">
        <v>615</v>
      </c>
      <c r="F55" s="10">
        <v>852</v>
      </c>
      <c r="G55" s="103">
        <f>AVERAGE(B55:F55)</f>
        <v>942</v>
      </c>
    </row>
    <row r="56" spans="1:7" ht="13.5" thickBot="1" x14ac:dyDescent="0.25">
      <c r="A56" s="98" t="s">
        <v>5</v>
      </c>
      <c r="B56" s="106">
        <f>SUM(B54:B55)</f>
        <v>5721</v>
      </c>
      <c r="C56" s="106">
        <f>SUM(C54:C55)</f>
        <v>5415</v>
      </c>
      <c r="D56" s="106">
        <f>SUM(D54:D55)</f>
        <v>5397</v>
      </c>
      <c r="E56" s="106">
        <f>SUM(E54:E55)</f>
        <v>4890</v>
      </c>
      <c r="F56" s="106">
        <f>SUM(F54:F55)</f>
        <v>6021</v>
      </c>
      <c r="G56" s="105">
        <f>AVERAGE(B56:F56)</f>
        <v>5488.8</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26.9</v>
      </c>
      <c r="C62" s="3">
        <v>27.7</v>
      </c>
      <c r="D62" s="3">
        <v>25.5</v>
      </c>
      <c r="E62" s="86">
        <v>26.4</v>
      </c>
      <c r="F62" s="86">
        <v>24.8</v>
      </c>
      <c r="G62" s="103">
        <f>AVERAGE(B62:F62)</f>
        <v>26.26</v>
      </c>
    </row>
    <row r="63" spans="1:7" ht="13.5" thickBot="1" x14ac:dyDescent="0.25">
      <c r="A63" s="98" t="s">
        <v>12</v>
      </c>
      <c r="B63" s="104">
        <v>24.6</v>
      </c>
      <c r="C63" s="104">
        <v>23.3</v>
      </c>
      <c r="D63" s="104">
        <v>23.2</v>
      </c>
      <c r="E63" s="104">
        <v>19.7</v>
      </c>
      <c r="F63" s="104">
        <v>18.600000000000001</v>
      </c>
      <c r="G63" s="105">
        <f>AVERAGE(B63:F63)</f>
        <v>21.880000000000003</v>
      </c>
    </row>
    <row r="64" spans="1:7" x14ac:dyDescent="0.2">
      <c r="A64" s="14"/>
      <c r="D64" s="5"/>
      <c r="E64" s="5"/>
      <c r="F64" s="5"/>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9</v>
      </c>
      <c r="C70" s="3">
        <v>9</v>
      </c>
      <c r="D70" s="3">
        <v>8</v>
      </c>
      <c r="E70" s="3">
        <v>9</v>
      </c>
      <c r="F70" s="3">
        <v>9</v>
      </c>
      <c r="G70" s="94">
        <f>AVERAGE(B70:F70)</f>
        <v>8.8000000000000007</v>
      </c>
    </row>
    <row r="71" spans="1:7" x14ac:dyDescent="0.2">
      <c r="A71" s="87" t="s">
        <v>4</v>
      </c>
      <c r="B71" s="3">
        <v>0</v>
      </c>
      <c r="C71" s="3">
        <v>2</v>
      </c>
      <c r="D71" s="3">
        <v>2</v>
      </c>
      <c r="E71" s="3">
        <v>1</v>
      </c>
      <c r="F71" s="3">
        <v>0</v>
      </c>
      <c r="G71" s="94">
        <f>AVERAGE(B71:F71)</f>
        <v>1</v>
      </c>
    </row>
    <row r="72" spans="1:7" x14ac:dyDescent="0.2">
      <c r="A72" s="87" t="s">
        <v>5</v>
      </c>
      <c r="B72" s="3">
        <f>SUM(B70:B71)</f>
        <v>9</v>
      </c>
      <c r="C72" s="3">
        <f>SUM(C70:C71)</f>
        <v>11</v>
      </c>
      <c r="D72" s="3">
        <f>SUM(D70:D71)</f>
        <v>10</v>
      </c>
      <c r="E72" s="3">
        <f>SUM(E70:E71)</f>
        <v>10</v>
      </c>
      <c r="F72" s="3">
        <f>SUM(F70:F71)</f>
        <v>9</v>
      </c>
      <c r="G72" s="94">
        <f>AVERAGE(B72:F72)</f>
        <v>9.8000000000000007</v>
      </c>
    </row>
    <row r="73" spans="1:7" ht="13.5" thickBot="1" x14ac:dyDescent="0.25">
      <c r="A73" s="95" t="s">
        <v>62</v>
      </c>
      <c r="B73" s="96">
        <f>B70+(B71/3)</f>
        <v>9</v>
      </c>
      <c r="C73" s="96">
        <f>C70+(C71/3)</f>
        <v>9.6666666666666661</v>
      </c>
      <c r="D73" s="96">
        <f>D70+(D71/3)</f>
        <v>8.6666666666666661</v>
      </c>
      <c r="E73" s="96">
        <f>E70+(E71/3)</f>
        <v>9.3333333333333339</v>
      </c>
      <c r="F73" s="96">
        <f>F70+(F71/3)</f>
        <v>9</v>
      </c>
      <c r="G73" s="97">
        <f>AVERAGE(B73:F73)</f>
        <v>9.1333333333333329</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22.74074074074074</v>
      </c>
      <c r="C80" s="96">
        <f>(C16+C25)/C73</f>
        <v>21.931034482758623</v>
      </c>
      <c r="D80" s="96">
        <f>(D16+D25)/D73</f>
        <v>22.53846153846154</v>
      </c>
      <c r="E80" s="96">
        <f>(E16+E25)/E73</f>
        <v>21.25</v>
      </c>
      <c r="F80" s="96">
        <f>(F16+F25)/F73</f>
        <v>23.777777777777779</v>
      </c>
      <c r="G80" s="97">
        <f>AVERAGE(B80:F80)</f>
        <v>22.447602907947736</v>
      </c>
    </row>
    <row r="81" spans="1:8" x14ac:dyDescent="0.2">
      <c r="B81" s="7"/>
      <c r="C81" s="7"/>
      <c r="D81" s="7"/>
      <c r="E81" s="7"/>
      <c r="G81" s="13"/>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635.66666666666663</v>
      </c>
      <c r="C85" s="96">
        <f>C56/C73</f>
        <v>560.17241379310349</v>
      </c>
      <c r="D85" s="96">
        <f>D56/D73</f>
        <v>622.73076923076928</v>
      </c>
      <c r="E85" s="96">
        <f>E56/E73</f>
        <v>523.92857142857144</v>
      </c>
      <c r="F85" s="96">
        <f>F56/F73</f>
        <v>669</v>
      </c>
      <c r="G85" s="97">
        <f>AVERAGE(B85:F85)</f>
        <v>602.29968422382217</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v>1044909</v>
      </c>
      <c r="C90" s="100">
        <v>1130278</v>
      </c>
      <c r="D90" s="100">
        <v>1056415</v>
      </c>
      <c r="E90" s="100">
        <v>1172609</v>
      </c>
      <c r="F90" s="104"/>
      <c r="G90" s="101">
        <f>AVERAGE(B90:E90)</f>
        <v>1101052.75</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182.64446775039329</v>
      </c>
      <c r="C95" s="102">
        <f>C90/C56</f>
        <v>208.73093259464451</v>
      </c>
      <c r="D95" s="102">
        <f>D90/D56</f>
        <v>195.74115249212525</v>
      </c>
      <c r="E95" s="102">
        <f>E90/E56</f>
        <v>239.79734151329242</v>
      </c>
      <c r="F95" s="102">
        <f>F90/F56</f>
        <v>0</v>
      </c>
      <c r="G95" s="101">
        <f>AVERAGE(B95:F95)</f>
        <v>165.38277887009107</v>
      </c>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opLeftCell="A52"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43" t="s">
        <v>31</v>
      </c>
      <c r="C6" s="142"/>
      <c r="D6" s="142"/>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3">
        <v>202</v>
      </c>
      <c r="C13" s="3">
        <v>191</v>
      </c>
      <c r="D13" s="62">
        <v>182</v>
      </c>
      <c r="E13" s="8">
        <f>55+104+57</f>
        <v>216</v>
      </c>
      <c r="F13" s="3">
        <v>195</v>
      </c>
      <c r="G13" s="110">
        <f>AVERAGE(B13:F13)</f>
        <v>197.2</v>
      </c>
    </row>
    <row r="14" spans="1:8" x14ac:dyDescent="0.2">
      <c r="A14" s="87" t="s">
        <v>4</v>
      </c>
      <c r="B14" s="3">
        <v>28</v>
      </c>
      <c r="C14" s="3">
        <v>43</v>
      </c>
      <c r="D14" s="62">
        <v>45</v>
      </c>
      <c r="E14" s="8">
        <f>6+25+10</f>
        <v>41</v>
      </c>
      <c r="F14" s="3">
        <v>37</v>
      </c>
      <c r="G14" s="110">
        <f>AVERAGE(B14:F14)</f>
        <v>38.799999999999997</v>
      </c>
    </row>
    <row r="15" spans="1:8" x14ac:dyDescent="0.2">
      <c r="A15" s="87" t="s">
        <v>5</v>
      </c>
      <c r="B15" s="3">
        <f>SUM(B13:B14)</f>
        <v>230</v>
      </c>
      <c r="C15" s="3">
        <f>SUM(C13:C14)</f>
        <v>234</v>
      </c>
      <c r="D15" s="3">
        <f>SUM(D13:D14)</f>
        <v>227</v>
      </c>
      <c r="E15" s="62">
        <f>SUM(E13:E14)</f>
        <v>257</v>
      </c>
      <c r="F15" s="62">
        <f>SUM(F13:F14)</f>
        <v>232</v>
      </c>
      <c r="G15" s="94">
        <f>AVERAGE(B15:F15)</f>
        <v>236</v>
      </c>
    </row>
    <row r="16" spans="1:8" x14ac:dyDescent="0.2">
      <c r="A16" s="111" t="s">
        <v>61</v>
      </c>
      <c r="B16" s="9">
        <f>B13+(B14/3)</f>
        <v>211.33333333333334</v>
      </c>
      <c r="C16" s="9">
        <f>C13+(C14/3)</f>
        <v>205.33333333333334</v>
      </c>
      <c r="D16" s="9">
        <f>D13+(D14/3)</f>
        <v>197</v>
      </c>
      <c r="E16" s="63">
        <f>E13+(E14/3)</f>
        <v>229.66666666666666</v>
      </c>
      <c r="F16" s="63">
        <f>F13+(F14/3)</f>
        <v>207.33333333333334</v>
      </c>
      <c r="G16" s="94">
        <f>AVERAGE(B16:F16)</f>
        <v>210.13333333333335</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v>8</v>
      </c>
      <c r="C22" s="3">
        <v>6</v>
      </c>
      <c r="D22" s="62">
        <v>4</v>
      </c>
      <c r="E22" s="3">
        <v>6</v>
      </c>
      <c r="F22" s="3">
        <v>7</v>
      </c>
      <c r="G22" s="110">
        <f>AVERAGE(B22:F22)</f>
        <v>6.2</v>
      </c>
    </row>
    <row r="23" spans="1:8" x14ac:dyDescent="0.2">
      <c r="A23" s="87" t="s">
        <v>4</v>
      </c>
      <c r="B23" s="3">
        <v>19</v>
      </c>
      <c r="C23" s="3">
        <v>18</v>
      </c>
      <c r="D23" s="62">
        <v>16</v>
      </c>
      <c r="E23" s="3">
        <v>18</v>
      </c>
      <c r="F23" s="3">
        <v>17</v>
      </c>
      <c r="G23" s="110">
        <f>AVERAGE(B23:F23)</f>
        <v>17.600000000000001</v>
      </c>
    </row>
    <row r="24" spans="1:8" x14ac:dyDescent="0.2">
      <c r="A24" s="87" t="s">
        <v>5</v>
      </c>
      <c r="B24" s="3">
        <f>SUM(B22:B23)</f>
        <v>27</v>
      </c>
      <c r="C24" s="3">
        <f>SUM(C22:C23)</f>
        <v>24</v>
      </c>
      <c r="D24" s="3">
        <f>SUM(D22:D23)</f>
        <v>20</v>
      </c>
      <c r="E24" s="62">
        <f>SUM(E22:E23)</f>
        <v>24</v>
      </c>
      <c r="F24" s="3">
        <f>SUM(F22:F23)</f>
        <v>24</v>
      </c>
      <c r="G24" s="110">
        <f>AVERAGE(B24:F24)</f>
        <v>23.8</v>
      </c>
    </row>
    <row r="25" spans="1:8" ht="13.5" thickBot="1" x14ac:dyDescent="0.25">
      <c r="A25" s="95" t="s">
        <v>61</v>
      </c>
      <c r="B25" s="96">
        <f>B22+(B23/3)</f>
        <v>14.333333333333332</v>
      </c>
      <c r="C25" s="96">
        <f>C22+(C23/3)</f>
        <v>12</v>
      </c>
      <c r="D25" s="96">
        <f>D22+(D23/3)</f>
        <v>9.3333333333333321</v>
      </c>
      <c r="E25" s="113">
        <f>E22+(E23/3)</f>
        <v>12</v>
      </c>
      <c r="F25" s="96">
        <f>F22+(F23/3)</f>
        <v>12.666666666666668</v>
      </c>
      <c r="G25" s="114">
        <f>AVERAGE(B25:F25)</f>
        <v>12.066666666666666</v>
      </c>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8">
        <v>52</v>
      </c>
      <c r="C32" s="8">
        <v>41</v>
      </c>
      <c r="D32" s="8">
        <v>58</v>
      </c>
      <c r="E32" s="3">
        <v>48</v>
      </c>
      <c r="F32" s="3">
        <v>52</v>
      </c>
      <c r="G32" s="94">
        <f>AVERAGE(B32:F32)</f>
        <v>50.2</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v>5</v>
      </c>
      <c r="C36" s="104">
        <v>11</v>
      </c>
      <c r="D36" s="104">
        <v>4</v>
      </c>
      <c r="E36" s="104">
        <v>8</v>
      </c>
      <c r="F36" s="104">
        <v>4</v>
      </c>
      <c r="G36" s="97">
        <f>AVERAGE(B36:F36)</f>
        <v>6.4</v>
      </c>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4.4230769230769234</v>
      </c>
      <c r="C42" s="9">
        <f>C15/C32</f>
        <v>5.7073170731707314</v>
      </c>
      <c r="D42" s="9">
        <f>D15/D32</f>
        <v>3.9137931034482758</v>
      </c>
      <c r="E42" s="9">
        <f>E15/E32</f>
        <v>5.354166666666667</v>
      </c>
      <c r="F42" s="9">
        <f>F15/F32</f>
        <v>4.4615384615384617</v>
      </c>
      <c r="G42" s="94">
        <f>AVERAGE(B42:F42)</f>
        <v>4.7719784455802117</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c r="C46" s="96"/>
      <c r="D46" s="96"/>
      <c r="E46" s="96"/>
      <c r="F46" s="96"/>
      <c r="G46" s="97"/>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15058</v>
      </c>
      <c r="C54" s="10">
        <v>14738</v>
      </c>
      <c r="D54" s="10">
        <v>14794</v>
      </c>
      <c r="E54" s="10">
        <v>13736</v>
      </c>
      <c r="F54" s="10">
        <v>12177</v>
      </c>
      <c r="G54" s="103">
        <f>AVERAGE(B54:F54)</f>
        <v>14100.6</v>
      </c>
    </row>
    <row r="55" spans="1:7" x14ac:dyDescent="0.2">
      <c r="A55" s="87" t="s">
        <v>12</v>
      </c>
      <c r="B55" s="10">
        <v>516</v>
      </c>
      <c r="C55" s="10">
        <v>468</v>
      </c>
      <c r="D55" s="10">
        <v>351</v>
      </c>
      <c r="E55" s="10">
        <v>426</v>
      </c>
      <c r="F55" s="10">
        <v>411</v>
      </c>
      <c r="G55" s="103">
        <f>AVERAGE(B55:F55)</f>
        <v>434.4</v>
      </c>
    </row>
    <row r="56" spans="1:7" ht="13.5" thickBot="1" x14ac:dyDescent="0.25">
      <c r="A56" s="98" t="s">
        <v>5</v>
      </c>
      <c r="B56" s="106">
        <f>SUM(B54:B55)</f>
        <v>15574</v>
      </c>
      <c r="C56" s="106">
        <f>SUM(C54:C55)</f>
        <v>15206</v>
      </c>
      <c r="D56" s="106">
        <f>SUM(D54:D55)</f>
        <v>15145</v>
      </c>
      <c r="E56" s="106">
        <f>SUM(E54:E55)</f>
        <v>14162</v>
      </c>
      <c r="F56" s="106">
        <f>SUM(F54:F55)</f>
        <v>12588</v>
      </c>
      <c r="G56" s="105">
        <f>AVERAGE(B56:F56)</f>
        <v>14535</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29.2</v>
      </c>
      <c r="C62" s="3">
        <v>32.5</v>
      </c>
      <c r="D62" s="3">
        <v>26.5</v>
      </c>
      <c r="E62" s="86">
        <v>25.6</v>
      </c>
      <c r="F62" s="86">
        <v>25.2</v>
      </c>
      <c r="G62" s="94">
        <f>AVERAGE(B62:F62)</f>
        <v>27.8</v>
      </c>
    </row>
    <row r="63" spans="1:7" ht="13.5" thickBot="1" x14ac:dyDescent="0.25">
      <c r="A63" s="98" t="s">
        <v>12</v>
      </c>
      <c r="B63" s="104">
        <v>9.9</v>
      </c>
      <c r="C63" s="104">
        <v>10.3</v>
      </c>
      <c r="D63" s="104">
        <v>7.7</v>
      </c>
      <c r="E63" s="104">
        <v>10.8</v>
      </c>
      <c r="F63" s="104">
        <v>8.6999999999999993</v>
      </c>
      <c r="G63" s="97">
        <f>AVERAGE(B63:F63)</f>
        <v>9.48</v>
      </c>
    </row>
    <row r="64" spans="1:7" x14ac:dyDescent="0.2">
      <c r="A64"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13</v>
      </c>
      <c r="C70" s="3">
        <v>14</v>
      </c>
      <c r="D70" s="3">
        <v>13</v>
      </c>
      <c r="E70" s="3">
        <v>15</v>
      </c>
      <c r="F70" s="3">
        <v>15</v>
      </c>
      <c r="G70" s="94">
        <f>AVERAGE(B70:F70)</f>
        <v>14</v>
      </c>
    </row>
    <row r="71" spans="1:7" x14ac:dyDescent="0.2">
      <c r="A71" s="87" t="s">
        <v>4</v>
      </c>
      <c r="B71" s="3">
        <v>9</v>
      </c>
      <c r="C71" s="3">
        <v>7</v>
      </c>
      <c r="D71" s="3">
        <v>10</v>
      </c>
      <c r="E71" s="3">
        <v>10</v>
      </c>
      <c r="F71" s="3">
        <v>9</v>
      </c>
      <c r="G71" s="94">
        <f>AVERAGE(B71:F71)</f>
        <v>9</v>
      </c>
    </row>
    <row r="72" spans="1:7" x14ac:dyDescent="0.2">
      <c r="A72" s="87" t="s">
        <v>5</v>
      </c>
      <c r="B72" s="3">
        <f>SUM(B70:B71)</f>
        <v>22</v>
      </c>
      <c r="C72" s="3">
        <f>SUM(C70:C71)</f>
        <v>21</v>
      </c>
      <c r="D72" s="3">
        <f>SUM(D70:D71)</f>
        <v>23</v>
      </c>
      <c r="E72" s="3">
        <f>SUM(E70:E71)</f>
        <v>25</v>
      </c>
      <c r="F72" s="3">
        <f>SUM(F70:F71)</f>
        <v>24</v>
      </c>
      <c r="G72" s="94">
        <f>AVERAGE(B72:F72)</f>
        <v>23</v>
      </c>
    </row>
    <row r="73" spans="1:7" ht="13.5" thickBot="1" x14ac:dyDescent="0.25">
      <c r="A73" s="95" t="s">
        <v>62</v>
      </c>
      <c r="B73" s="96">
        <f>B70+(B71/3)</f>
        <v>16</v>
      </c>
      <c r="C73" s="96">
        <f>C70+(C71/3)</f>
        <v>16.333333333333332</v>
      </c>
      <c r="D73" s="96">
        <f>D70+(D71/3)</f>
        <v>16.333333333333332</v>
      </c>
      <c r="E73" s="96">
        <f>E70+(E71/3)</f>
        <v>18.333333333333332</v>
      </c>
      <c r="F73" s="96">
        <f>F70+(F71/3)</f>
        <v>18</v>
      </c>
      <c r="G73" s="97">
        <f>AVERAGE(B73:F73)</f>
        <v>16.999999999999996</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14.104166666666668</v>
      </c>
      <c r="C80" s="96">
        <f>(C16+C25)/C73</f>
        <v>13.306122448979593</v>
      </c>
      <c r="D80" s="96">
        <f>(D16+D25)/D73</f>
        <v>12.632653061224492</v>
      </c>
      <c r="E80" s="96">
        <f>(E16+E25)/E73</f>
        <v>13.181818181818182</v>
      </c>
      <c r="F80" s="96">
        <f>(F16+F25)/F73</f>
        <v>12.222222222222221</v>
      </c>
      <c r="G80" s="97">
        <f>AVERAGE(B80:F80)</f>
        <v>13.08939651618223</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973.375</v>
      </c>
      <c r="C85" s="96">
        <f>C56/C73</f>
        <v>930.97959183673481</v>
      </c>
      <c r="D85" s="96">
        <f>D56/D73</f>
        <v>927.24489795918373</v>
      </c>
      <c r="E85" s="96">
        <f>E56/E73</f>
        <v>772.4727272727273</v>
      </c>
      <c r="F85" s="96">
        <f>F56/F73</f>
        <v>699.33333333333337</v>
      </c>
      <c r="G85" s="97">
        <f>AVERAGE(B85:F85)</f>
        <v>860.6811100803958</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v>1198936</v>
      </c>
      <c r="C90" s="100">
        <v>1260798</v>
      </c>
      <c r="D90" s="100">
        <f>1409653.54+1414.19</f>
        <v>1411067.73</v>
      </c>
      <c r="E90" s="100">
        <v>1478038.41</v>
      </c>
      <c r="F90" s="104"/>
      <c r="G90" s="101">
        <f>AVERAGE(B90:E90)</f>
        <v>1337210.0349999999</v>
      </c>
    </row>
    <row r="91" spans="1:8" x14ac:dyDescent="0.2">
      <c r="A91" s="148" t="s">
        <v>80</v>
      </c>
      <c r="B91" s="11"/>
      <c r="C91" s="11"/>
      <c r="D91" s="11"/>
      <c r="E91" s="11"/>
      <c r="F91" s="11"/>
      <c r="G91" s="12"/>
      <c r="H91" s="56"/>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76.983177090021826</v>
      </c>
      <c r="C95" s="102">
        <f>C90/C56</f>
        <v>82.91450743127713</v>
      </c>
      <c r="D95" s="102">
        <f>D90/D56</f>
        <v>93.17053350940904</v>
      </c>
      <c r="E95" s="102">
        <f>E90/E56</f>
        <v>104.36650261262533</v>
      </c>
      <c r="F95" s="102">
        <f>F90/F56</f>
        <v>0</v>
      </c>
      <c r="G95" s="101">
        <f>AVERAGE(B95:F95)</f>
        <v>71.486944128666664</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opLeftCell="A82"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62" t="s">
        <v>37</v>
      </c>
      <c r="C6" s="164"/>
      <c r="D6" s="166"/>
      <c r="E6" s="1"/>
      <c r="F6" s="1"/>
      <c r="G6" s="1"/>
      <c r="H6" s="49"/>
    </row>
    <row r="7" spans="1:8" x14ac:dyDescent="0.2">
      <c r="A7" s="165" t="s">
        <v>72</v>
      </c>
      <c r="B7" s="165"/>
      <c r="C7" s="165"/>
      <c r="D7" s="165"/>
      <c r="E7" s="165"/>
      <c r="F7" s="165"/>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71</v>
      </c>
      <c r="E11" s="139" t="s">
        <v>76</v>
      </c>
      <c r="F11" s="139" t="s">
        <v>77</v>
      </c>
      <c r="G11" s="140" t="s">
        <v>1</v>
      </c>
    </row>
    <row r="12" spans="1:8" x14ac:dyDescent="0.2">
      <c r="A12" s="87" t="s">
        <v>2</v>
      </c>
      <c r="B12" s="3"/>
      <c r="C12" s="3"/>
      <c r="D12" s="3"/>
      <c r="E12" s="62"/>
      <c r="F12" s="3"/>
      <c r="G12" s="109"/>
    </row>
    <row r="13" spans="1:8" x14ac:dyDescent="0.2">
      <c r="A13" s="87" t="s">
        <v>3</v>
      </c>
      <c r="B13" s="3">
        <v>176</v>
      </c>
      <c r="C13" s="3">
        <v>174</v>
      </c>
      <c r="D13" s="62">
        <v>99</v>
      </c>
      <c r="E13" s="3">
        <v>81</v>
      </c>
      <c r="F13" s="3">
        <v>70</v>
      </c>
      <c r="G13" s="110">
        <f>AVERAGE(B13:F13)</f>
        <v>120</v>
      </c>
    </row>
    <row r="14" spans="1:8" x14ac:dyDescent="0.2">
      <c r="A14" s="87" t="s">
        <v>4</v>
      </c>
      <c r="B14" s="3">
        <v>27</v>
      </c>
      <c r="C14" s="3">
        <v>26</v>
      </c>
      <c r="D14" s="62">
        <v>16</v>
      </c>
      <c r="E14" s="3">
        <v>10</v>
      </c>
      <c r="F14" s="3">
        <v>13</v>
      </c>
      <c r="G14" s="110">
        <f>AVERAGE(B14:F14)</f>
        <v>18.399999999999999</v>
      </c>
    </row>
    <row r="15" spans="1:8" x14ac:dyDescent="0.2">
      <c r="A15" s="87" t="s">
        <v>5</v>
      </c>
      <c r="B15" s="3">
        <f>SUM(B13:B14)</f>
        <v>203</v>
      </c>
      <c r="C15" s="3">
        <f>SUM(C13:C14)</f>
        <v>200</v>
      </c>
      <c r="D15" s="3">
        <f>SUM(D13:D14)</f>
        <v>115</v>
      </c>
      <c r="E15" s="62">
        <f>SUM(E13:E14)</f>
        <v>91</v>
      </c>
      <c r="F15" s="62">
        <f>SUM(F13:F14)</f>
        <v>83</v>
      </c>
      <c r="G15" s="94">
        <f>AVERAGE(B15:F15)</f>
        <v>138.4</v>
      </c>
    </row>
    <row r="16" spans="1:8" x14ac:dyDescent="0.2">
      <c r="A16" s="111" t="s">
        <v>61</v>
      </c>
      <c r="B16" s="9">
        <f>B13+(B14/3)</f>
        <v>185</v>
      </c>
      <c r="C16" s="9">
        <f>C13+(C14/3)</f>
        <v>182.66666666666666</v>
      </c>
      <c r="D16" s="9">
        <f>D13+(D14/3)</f>
        <v>104.33333333333333</v>
      </c>
      <c r="E16" s="63">
        <f>E13+(E14/3)</f>
        <v>84.333333333333329</v>
      </c>
      <c r="F16" s="63">
        <f>F13+(F14/3)</f>
        <v>74.333333333333329</v>
      </c>
      <c r="G16" s="94">
        <f>AVERAGE(B16:F16)</f>
        <v>126.13333333333333</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09"/>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61</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8">
        <v>15</v>
      </c>
      <c r="C32" s="8">
        <v>11</v>
      </c>
      <c r="D32" s="8">
        <v>17</v>
      </c>
      <c r="E32" s="3">
        <v>20</v>
      </c>
      <c r="F32" s="3">
        <v>10</v>
      </c>
      <c r="G32" s="94">
        <f>AVERAGE(B32:F32)</f>
        <v>14.6</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13.533333333333333</v>
      </c>
      <c r="C42" s="9">
        <f>C15/C32</f>
        <v>18.181818181818183</v>
      </c>
      <c r="D42" s="9">
        <f>D15/D32</f>
        <v>6.7647058823529411</v>
      </c>
      <c r="E42" s="9">
        <f>E15/E32</f>
        <v>4.55</v>
      </c>
      <c r="F42" s="9">
        <f>F15/F32</f>
        <v>8.3000000000000007</v>
      </c>
      <c r="G42" s="94">
        <f>AVERAGE(B42:F42)</f>
        <v>10.265971479500891</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c r="C46" s="96"/>
      <c r="D46" s="96"/>
      <c r="E46" s="96"/>
      <c r="F46" s="96"/>
      <c r="G46" s="97"/>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14698</v>
      </c>
      <c r="C54" s="10">
        <v>14258</v>
      </c>
      <c r="D54" s="10">
        <f>10586+879</f>
        <v>11465</v>
      </c>
      <c r="E54" s="10">
        <f>10581+497</f>
        <v>11078</v>
      </c>
      <c r="F54" s="10">
        <v>10319</v>
      </c>
      <c r="G54" s="103">
        <f>AVERAGE(B54:F54)</f>
        <v>12363.6</v>
      </c>
    </row>
    <row r="55" spans="1:7" x14ac:dyDescent="0.2">
      <c r="A55" s="87" t="s">
        <v>12</v>
      </c>
      <c r="B55" s="10">
        <v>105</v>
      </c>
      <c r="C55" s="10">
        <v>111</v>
      </c>
      <c r="D55" s="10">
        <v>108</v>
      </c>
      <c r="E55" s="10">
        <f>63+30</f>
        <v>93</v>
      </c>
      <c r="F55" s="10">
        <v>75</v>
      </c>
      <c r="G55" s="103">
        <f>AVERAGE(B55:F55)</f>
        <v>98.4</v>
      </c>
    </row>
    <row r="56" spans="1:7" ht="13.5" thickBot="1" x14ac:dyDescent="0.25">
      <c r="A56" s="98" t="s">
        <v>5</v>
      </c>
      <c r="B56" s="106">
        <f>SUM(B54:B55)</f>
        <v>14803</v>
      </c>
      <c r="C56" s="106">
        <f>SUM(C54:C55)</f>
        <v>14369</v>
      </c>
      <c r="D56" s="106">
        <f>SUM(D54:D55)</f>
        <v>11573</v>
      </c>
      <c r="E56" s="106">
        <f>SUM(E54:E55)</f>
        <v>11171</v>
      </c>
      <c r="F56" s="106">
        <f>SUM(F54:F55)</f>
        <v>10394</v>
      </c>
      <c r="G56" s="105">
        <f>AVERAGE(B56:F56)</f>
        <v>12462</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26.2</v>
      </c>
      <c r="C62" s="3">
        <v>27.3</v>
      </c>
      <c r="D62" s="3">
        <v>24.2</v>
      </c>
      <c r="E62" s="86">
        <v>24.3</v>
      </c>
      <c r="F62" s="86">
        <v>23</v>
      </c>
      <c r="G62" s="94">
        <f>AVERAGE(B62:F62)</f>
        <v>25</v>
      </c>
    </row>
    <row r="63" spans="1:7" ht="13.5" thickBot="1" x14ac:dyDescent="0.25">
      <c r="A63" s="98" t="s">
        <v>12</v>
      </c>
      <c r="B63" s="104">
        <v>8</v>
      </c>
      <c r="C63" s="104">
        <v>8.5</v>
      </c>
      <c r="D63" s="104">
        <v>9</v>
      </c>
      <c r="E63" s="104">
        <v>7.7</v>
      </c>
      <c r="F63" s="104">
        <v>6.7</v>
      </c>
      <c r="G63" s="97">
        <f>AVERAGE(B63:F63)</f>
        <v>7.9800000000000013</v>
      </c>
    </row>
    <row r="64" spans="1:7" x14ac:dyDescent="0.2">
      <c r="A64" s="14"/>
    </row>
    <row r="65" spans="1:7" x14ac:dyDescent="0.2">
      <c r="A65"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16</v>
      </c>
      <c r="C70" s="3">
        <v>18</v>
      </c>
      <c r="D70" s="3">
        <v>14</v>
      </c>
      <c r="E70" s="3">
        <v>13</v>
      </c>
      <c r="F70" s="3">
        <v>15</v>
      </c>
      <c r="G70" s="94">
        <f>AVERAGE(B70:F70)</f>
        <v>15.2</v>
      </c>
    </row>
    <row r="71" spans="1:7" x14ac:dyDescent="0.2">
      <c r="A71" s="87" t="s">
        <v>4</v>
      </c>
      <c r="B71" s="3">
        <v>11</v>
      </c>
      <c r="C71" s="3">
        <v>12</v>
      </c>
      <c r="D71" s="3">
        <v>12</v>
      </c>
      <c r="E71" s="3">
        <v>10</v>
      </c>
      <c r="F71" s="3">
        <v>6</v>
      </c>
      <c r="G71" s="94">
        <f>AVERAGE(B71:F71)</f>
        <v>10.199999999999999</v>
      </c>
    </row>
    <row r="72" spans="1:7" x14ac:dyDescent="0.2">
      <c r="A72" s="87" t="s">
        <v>5</v>
      </c>
      <c r="B72" s="3">
        <f>SUM(B70:B71)</f>
        <v>27</v>
      </c>
      <c r="C72" s="3">
        <f>SUM(C70:C71)</f>
        <v>30</v>
      </c>
      <c r="D72" s="3">
        <f>SUM(D70:D71)</f>
        <v>26</v>
      </c>
      <c r="E72" s="3">
        <f>SUM(E70:E71)</f>
        <v>23</v>
      </c>
      <c r="F72" s="3">
        <f>SUM(F70:F71)</f>
        <v>21</v>
      </c>
      <c r="G72" s="94">
        <f>AVERAGE(B72:F72)</f>
        <v>25.4</v>
      </c>
    </row>
    <row r="73" spans="1:7" ht="13.5" thickBot="1" x14ac:dyDescent="0.25">
      <c r="A73" s="95" t="s">
        <v>62</v>
      </c>
      <c r="B73" s="96">
        <f>B70+(B71/3)</f>
        <v>19.666666666666668</v>
      </c>
      <c r="C73" s="96">
        <f>C70+(C71/3)</f>
        <v>22</v>
      </c>
      <c r="D73" s="96">
        <f>D70+(D71/3)</f>
        <v>18</v>
      </c>
      <c r="E73" s="96">
        <f>E70+(E71/3)</f>
        <v>16.333333333333332</v>
      </c>
      <c r="F73" s="96">
        <f>F70+(F71/3)</f>
        <v>17</v>
      </c>
      <c r="G73" s="97">
        <f>AVERAGE(B73:F73)</f>
        <v>18.600000000000001</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9.4067796610169481</v>
      </c>
      <c r="C80" s="96">
        <f>(C16+C25)/C73</f>
        <v>8.3030303030303028</v>
      </c>
      <c r="D80" s="96">
        <f>(D16+D25)/D73</f>
        <v>5.7962962962962958</v>
      </c>
      <c r="E80" s="96">
        <f>(E16+E25)/E73</f>
        <v>5.1632653061224492</v>
      </c>
      <c r="F80" s="96">
        <f>(F16+F25)/F73</f>
        <v>4.3725490196078427</v>
      </c>
      <c r="G80" s="97">
        <f>AVERAGE(B80:F80)</f>
        <v>6.6083841172147686</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752.69491525423723</v>
      </c>
      <c r="C85" s="96">
        <f>C56/C73</f>
        <v>653.13636363636363</v>
      </c>
      <c r="D85" s="96">
        <f>D56/D73</f>
        <v>642.94444444444446</v>
      </c>
      <c r="E85" s="96">
        <f>E56/E73</f>
        <v>683.9387755102041</v>
      </c>
      <c r="F85" s="96">
        <f>F56/F73</f>
        <v>611.41176470588232</v>
      </c>
      <c r="G85" s="97">
        <f>AVERAGE(B85:F85)</f>
        <v>668.82525271022632</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v>1320233</v>
      </c>
      <c r="C90" s="100">
        <v>1288934</v>
      </c>
      <c r="D90" s="100">
        <v>1137111.06</v>
      </c>
      <c r="E90" s="100">
        <v>1154138.1399999999</v>
      </c>
      <c r="F90" s="104"/>
      <c r="G90" s="101">
        <f>AVERAGE(B90:E90)</f>
        <v>1225104.05</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89.186854016077817</v>
      </c>
      <c r="C95" s="102">
        <f>C90/C56</f>
        <v>89.702414921010515</v>
      </c>
      <c r="D95" s="102">
        <f>D90/D56</f>
        <v>98.255513695670956</v>
      </c>
      <c r="E95" s="102">
        <f>E90/E56</f>
        <v>103.3155617223167</v>
      </c>
      <c r="F95" s="102">
        <f>F90/F56</f>
        <v>0</v>
      </c>
      <c r="G95" s="101">
        <f>AVERAGE(B95:F95)</f>
        <v>76.092068871015201</v>
      </c>
    </row>
  </sheetData>
  <mergeCells count="5">
    <mergeCell ref="A1:G1"/>
    <mergeCell ref="A2:G2"/>
    <mergeCell ref="A4:G4"/>
    <mergeCell ref="B6:D6"/>
    <mergeCell ref="A7:F7"/>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05"/>
  <sheetViews>
    <sheetView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9" x14ac:dyDescent="0.2">
      <c r="A1" s="159" t="s">
        <v>27</v>
      </c>
      <c r="B1" s="159"/>
      <c r="C1" s="159"/>
      <c r="D1" s="159"/>
      <c r="E1" s="159"/>
      <c r="F1" s="159"/>
      <c r="G1" s="159"/>
      <c r="H1" s="48"/>
    </row>
    <row r="2" spans="1:9" x14ac:dyDescent="0.2">
      <c r="A2" s="159" t="s">
        <v>78</v>
      </c>
      <c r="B2" s="159"/>
      <c r="C2" s="159"/>
      <c r="D2" s="159"/>
      <c r="E2" s="159"/>
      <c r="F2" s="159"/>
      <c r="G2" s="159"/>
      <c r="H2" s="48"/>
    </row>
    <row r="4" spans="1:9" ht="15" x14ac:dyDescent="0.25">
      <c r="A4" s="161" t="s">
        <v>52</v>
      </c>
      <c r="B4" s="161"/>
      <c r="C4" s="161"/>
      <c r="D4" s="161"/>
      <c r="E4" s="161"/>
      <c r="F4" s="161"/>
      <c r="G4" s="161"/>
      <c r="H4" s="49"/>
      <c r="I4" s="34"/>
    </row>
    <row r="5" spans="1:9" x14ac:dyDescent="0.2">
      <c r="A5" s="1"/>
      <c r="B5" s="1"/>
      <c r="C5" s="1"/>
      <c r="D5" s="1"/>
      <c r="E5" s="1"/>
      <c r="F5" s="1"/>
      <c r="G5" s="1"/>
      <c r="H5" s="49"/>
      <c r="I5" s="34"/>
    </row>
    <row r="6" spans="1:9" x14ac:dyDescent="0.2">
      <c r="A6" s="142" t="s">
        <v>17</v>
      </c>
      <c r="B6" s="143" t="s">
        <v>21</v>
      </c>
      <c r="C6" s="142"/>
      <c r="D6" s="142"/>
      <c r="E6" s="1"/>
      <c r="F6" s="1"/>
      <c r="G6" s="1"/>
      <c r="H6" s="49"/>
    </row>
    <row r="7" spans="1:9" x14ac:dyDescent="0.2">
      <c r="A7" s="1"/>
      <c r="B7" s="1"/>
      <c r="C7" s="1"/>
      <c r="D7" s="1"/>
      <c r="E7" s="1"/>
      <c r="F7" s="1"/>
      <c r="G7" s="1"/>
      <c r="H7" s="49"/>
    </row>
    <row r="8" spans="1:9" ht="13.5" thickBot="1" x14ac:dyDescent="0.25"/>
    <row r="9" spans="1:9" x14ac:dyDescent="0.2">
      <c r="A9" s="88" t="s">
        <v>67</v>
      </c>
      <c r="B9" s="89"/>
      <c r="C9" s="89"/>
      <c r="D9" s="89"/>
      <c r="E9" s="89"/>
      <c r="F9" s="89"/>
      <c r="G9" s="90"/>
    </row>
    <row r="10" spans="1:9" x14ac:dyDescent="0.2">
      <c r="A10" s="91"/>
      <c r="B10" s="7"/>
      <c r="C10" s="7"/>
      <c r="D10" s="7"/>
      <c r="E10" s="7"/>
      <c r="F10" s="7"/>
      <c r="G10" s="92"/>
    </row>
    <row r="11" spans="1:9" x14ac:dyDescent="0.2">
      <c r="A11" s="93" t="s">
        <v>0</v>
      </c>
      <c r="B11" s="139" t="s">
        <v>66</v>
      </c>
      <c r="C11" s="139" t="s">
        <v>68</v>
      </c>
      <c r="D11" s="139" t="s">
        <v>70</v>
      </c>
      <c r="E11" s="139" t="s">
        <v>76</v>
      </c>
      <c r="F11" s="139" t="s">
        <v>77</v>
      </c>
      <c r="G11" s="140" t="s">
        <v>1</v>
      </c>
    </row>
    <row r="12" spans="1:9" x14ac:dyDescent="0.2">
      <c r="A12" s="87" t="s">
        <v>2</v>
      </c>
      <c r="B12" s="3"/>
      <c r="C12" s="3"/>
      <c r="D12" s="3"/>
      <c r="E12" s="62"/>
      <c r="F12" s="3"/>
      <c r="G12" s="109"/>
    </row>
    <row r="13" spans="1:9" x14ac:dyDescent="0.2">
      <c r="A13" s="87" t="s">
        <v>3</v>
      </c>
      <c r="B13" s="3">
        <v>166</v>
      </c>
      <c r="C13" s="3">
        <v>147</v>
      </c>
      <c r="D13" s="62">
        <v>124</v>
      </c>
      <c r="E13" s="3">
        <v>135</v>
      </c>
      <c r="F13" s="3">
        <v>143</v>
      </c>
      <c r="G13" s="110">
        <f>AVERAGE(B13:F13)</f>
        <v>143</v>
      </c>
    </row>
    <row r="14" spans="1:9" x14ac:dyDescent="0.2">
      <c r="A14" s="87" t="s">
        <v>4</v>
      </c>
      <c r="B14" s="3">
        <v>27</v>
      </c>
      <c r="C14" s="3">
        <v>31</v>
      </c>
      <c r="D14" s="62">
        <v>12</v>
      </c>
      <c r="E14" s="3">
        <v>16</v>
      </c>
      <c r="F14" s="3">
        <v>18</v>
      </c>
      <c r="G14" s="110">
        <f>AVERAGE(B14:F14)</f>
        <v>20.8</v>
      </c>
    </row>
    <row r="15" spans="1:9" x14ac:dyDescent="0.2">
      <c r="A15" s="87" t="s">
        <v>5</v>
      </c>
      <c r="B15" s="3">
        <f>SUM(B13:B14)</f>
        <v>193</v>
      </c>
      <c r="C15" s="3">
        <f>SUM(C13:C14)</f>
        <v>178</v>
      </c>
      <c r="D15" s="3">
        <f>SUM(D13:D14)</f>
        <v>136</v>
      </c>
      <c r="E15" s="62">
        <f>SUM(E13:E14)</f>
        <v>151</v>
      </c>
      <c r="F15" s="62">
        <f>SUM(F13:F14)</f>
        <v>161</v>
      </c>
      <c r="G15" s="94">
        <f>AVERAGE(B15:F15)</f>
        <v>163.80000000000001</v>
      </c>
    </row>
    <row r="16" spans="1:9" x14ac:dyDescent="0.2">
      <c r="A16" s="111" t="s">
        <v>61</v>
      </c>
      <c r="B16" s="9">
        <f>B13+(B14/3)</f>
        <v>175</v>
      </c>
      <c r="C16" s="9">
        <f>C13+(C14/3)</f>
        <v>157.33333333333334</v>
      </c>
      <c r="D16" s="9">
        <f>D13+(D14/3)</f>
        <v>128</v>
      </c>
      <c r="E16" s="63">
        <f>E13+(E14/3)</f>
        <v>140.33333333333334</v>
      </c>
      <c r="F16" s="63">
        <f>F13+(F14/3)</f>
        <v>149</v>
      </c>
      <c r="G16" s="94">
        <f>AVERAGE(B16:F16)</f>
        <v>149.93333333333334</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61</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8">
        <v>16</v>
      </c>
      <c r="C32" s="8">
        <v>14</v>
      </c>
      <c r="D32" s="8">
        <v>12</v>
      </c>
      <c r="E32" s="3">
        <v>16</v>
      </c>
      <c r="F32" s="3">
        <v>24</v>
      </c>
      <c r="G32" s="94">
        <f>AVERAGE(B32:F32)</f>
        <v>16.399999999999999</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12.0625</v>
      </c>
      <c r="C42" s="9">
        <f>C15/C32</f>
        <v>12.714285714285714</v>
      </c>
      <c r="D42" s="9">
        <f>D15/D32</f>
        <v>11.333333333333334</v>
      </c>
      <c r="E42" s="9">
        <f>E15/E32</f>
        <v>9.4375</v>
      </c>
      <c r="F42" s="9">
        <f>F15/F32</f>
        <v>6.708333333333333</v>
      </c>
      <c r="G42" s="94">
        <f>AVERAGE(B42:F42)</f>
        <v>10.451190476190478</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c r="C46" s="96"/>
      <c r="D46" s="96"/>
      <c r="E46" s="96"/>
      <c r="F46" s="96"/>
      <c r="G46" s="97" t="e">
        <f>AVERAGE(B46:F46)</f>
        <v>#DIV/0!</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5150</v>
      </c>
      <c r="C54" s="10">
        <v>5006</v>
      </c>
      <c r="D54" s="10">
        <v>4613</v>
      </c>
      <c r="E54" s="10">
        <v>4659</v>
      </c>
      <c r="F54" s="10">
        <v>4704</v>
      </c>
      <c r="G54" s="103">
        <f>AVERAGE(B54:F54)</f>
        <v>4826.3999999999996</v>
      </c>
    </row>
    <row r="55" spans="1:7" x14ac:dyDescent="0.2">
      <c r="A55" s="87" t="s">
        <v>12</v>
      </c>
      <c r="B55" s="29">
        <v>78</v>
      </c>
      <c r="C55" s="29">
        <v>50</v>
      </c>
      <c r="D55" s="29">
        <v>39</v>
      </c>
      <c r="E55" s="10">
        <v>47</v>
      </c>
      <c r="F55" s="10">
        <v>51</v>
      </c>
      <c r="G55" s="103">
        <f>AVERAGE(B55:F55)</f>
        <v>53</v>
      </c>
    </row>
    <row r="56" spans="1:7" ht="13.5" thickBot="1" x14ac:dyDescent="0.25">
      <c r="A56" s="98" t="s">
        <v>5</v>
      </c>
      <c r="B56" s="106">
        <f>SUM(B54:B55)</f>
        <v>5228</v>
      </c>
      <c r="C56" s="106">
        <f>SUM(C54:C55)</f>
        <v>5056</v>
      </c>
      <c r="D56" s="106">
        <f>SUM(D54:D55)</f>
        <v>4652</v>
      </c>
      <c r="E56" s="106">
        <f>SUM(E54:E55)</f>
        <v>4706</v>
      </c>
      <c r="F56" s="106">
        <f>SUM(F54:F55)</f>
        <v>4755</v>
      </c>
      <c r="G56" s="105">
        <f>AVERAGE(B56:F56)</f>
        <v>4879.3999999999996</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18.5</v>
      </c>
      <c r="C62" s="3">
        <v>17.8</v>
      </c>
      <c r="D62" s="3">
        <v>17.600000000000001</v>
      </c>
      <c r="E62" s="86">
        <v>18.7</v>
      </c>
      <c r="F62" s="86">
        <v>18.8</v>
      </c>
      <c r="G62" s="94">
        <f>AVERAGE(B62:F62)</f>
        <v>18.279999999999998</v>
      </c>
    </row>
    <row r="63" spans="1:7" ht="13.5" thickBot="1" x14ac:dyDescent="0.25">
      <c r="A63" s="98" t="s">
        <v>12</v>
      </c>
      <c r="B63" s="119">
        <v>7</v>
      </c>
      <c r="C63" s="119"/>
      <c r="D63" s="119"/>
      <c r="E63" s="104"/>
      <c r="F63" s="104">
        <v>8</v>
      </c>
      <c r="G63" s="97">
        <f>AVERAGE(B63:F63)</f>
        <v>7.5</v>
      </c>
    </row>
    <row r="64" spans="1:7" x14ac:dyDescent="0.2">
      <c r="A64" s="14"/>
    </row>
    <row r="66" spans="1:8" ht="13.5" thickBot="1" x14ac:dyDescent="0.25">
      <c r="A66" s="2"/>
    </row>
    <row r="67" spans="1:8" x14ac:dyDescent="0.2">
      <c r="A67" s="88" t="s">
        <v>60</v>
      </c>
      <c r="B67" s="89"/>
      <c r="C67" s="89"/>
      <c r="D67" s="89"/>
      <c r="E67" s="89"/>
      <c r="F67" s="89"/>
      <c r="G67" s="90"/>
    </row>
    <row r="68" spans="1:8" x14ac:dyDescent="0.2">
      <c r="A68" s="91"/>
      <c r="B68" s="7"/>
      <c r="C68" s="7"/>
      <c r="D68" s="7"/>
      <c r="E68" s="7"/>
      <c r="F68" s="7"/>
      <c r="G68" s="92"/>
    </row>
    <row r="69" spans="1:8" x14ac:dyDescent="0.2">
      <c r="A69" s="93" t="s">
        <v>13</v>
      </c>
      <c r="B69" s="139" t="s">
        <v>66</v>
      </c>
      <c r="C69" s="139" t="s">
        <v>68</v>
      </c>
      <c r="D69" s="139" t="s">
        <v>70</v>
      </c>
      <c r="E69" s="139" t="s">
        <v>76</v>
      </c>
      <c r="F69" s="139" t="s">
        <v>77</v>
      </c>
      <c r="G69" s="140" t="s">
        <v>1</v>
      </c>
    </row>
    <row r="70" spans="1:8" x14ac:dyDescent="0.2">
      <c r="A70" s="87" t="s">
        <v>3</v>
      </c>
      <c r="B70" s="3">
        <v>12</v>
      </c>
      <c r="C70" s="3">
        <v>12</v>
      </c>
      <c r="D70" s="3">
        <v>12</v>
      </c>
      <c r="E70" s="3">
        <v>13</v>
      </c>
      <c r="F70" s="3">
        <v>13</v>
      </c>
      <c r="G70" s="94">
        <f>AVERAGE(B70:F70)</f>
        <v>12.4</v>
      </c>
    </row>
    <row r="71" spans="1:8" x14ac:dyDescent="0.2">
      <c r="A71" s="87" t="s">
        <v>4</v>
      </c>
      <c r="B71" s="3">
        <v>14</v>
      </c>
      <c r="C71" s="3">
        <v>16</v>
      </c>
      <c r="D71" s="3">
        <v>11</v>
      </c>
      <c r="E71" s="3">
        <v>8</v>
      </c>
      <c r="F71" s="3">
        <v>10</v>
      </c>
      <c r="G71" s="94">
        <f>AVERAGE(B71:F71)</f>
        <v>11.8</v>
      </c>
    </row>
    <row r="72" spans="1:8" x14ac:dyDescent="0.2">
      <c r="A72" s="87" t="s">
        <v>5</v>
      </c>
      <c r="B72" s="3">
        <f>SUM(B70:B71)</f>
        <v>26</v>
      </c>
      <c r="C72" s="3">
        <f>SUM(C70:C71)</f>
        <v>28</v>
      </c>
      <c r="D72" s="3">
        <f>SUM(D70:D71)</f>
        <v>23</v>
      </c>
      <c r="E72" s="3">
        <f>SUM(E70:E71)</f>
        <v>21</v>
      </c>
      <c r="F72" s="3">
        <f>SUM(F70:F71)</f>
        <v>23</v>
      </c>
      <c r="G72" s="94">
        <f>AVERAGE(B72:F72)</f>
        <v>24.2</v>
      </c>
    </row>
    <row r="73" spans="1:8" ht="13.5" thickBot="1" x14ac:dyDescent="0.25">
      <c r="A73" s="95" t="s">
        <v>62</v>
      </c>
      <c r="B73" s="96">
        <f>B70+(B71/3)</f>
        <v>16.666666666666668</v>
      </c>
      <c r="C73" s="96">
        <f>C70+(C71/3)</f>
        <v>17.333333333333332</v>
      </c>
      <c r="D73" s="96">
        <f>D70+(D71/3)</f>
        <v>15.666666666666666</v>
      </c>
      <c r="E73" s="96">
        <f>E70+(E71/3)</f>
        <v>15.666666666666666</v>
      </c>
      <c r="F73" s="96">
        <f>F70+(F71/3)</f>
        <v>16.333333333333332</v>
      </c>
      <c r="G73" s="97">
        <f>AVERAGE(B73:F73)</f>
        <v>16.333333333333332</v>
      </c>
    </row>
    <row r="74" spans="1:8" x14ac:dyDescent="0.2">
      <c r="A74" s="5"/>
    </row>
    <row r="75" spans="1:8" x14ac:dyDescent="0.2">
      <c r="A75" s="5"/>
    </row>
    <row r="77" spans="1:8" ht="13.5" thickBot="1" x14ac:dyDescent="0.25">
      <c r="A77" s="2"/>
    </row>
    <row r="78" spans="1:8" x14ac:dyDescent="0.2">
      <c r="A78" s="88" t="s">
        <v>24</v>
      </c>
      <c r="B78" s="89"/>
      <c r="C78" s="89"/>
      <c r="D78" s="89"/>
      <c r="E78" s="89"/>
      <c r="F78" s="89"/>
      <c r="G78" s="90"/>
    </row>
    <row r="79" spans="1:8" x14ac:dyDescent="0.2">
      <c r="A79" s="91"/>
      <c r="B79" s="139" t="s">
        <v>66</v>
      </c>
      <c r="C79" s="139" t="s">
        <v>68</v>
      </c>
      <c r="D79" s="139" t="s">
        <v>70</v>
      </c>
      <c r="E79" s="139" t="s">
        <v>76</v>
      </c>
      <c r="F79" s="139" t="s">
        <v>77</v>
      </c>
      <c r="G79" s="140" t="s">
        <v>1</v>
      </c>
    </row>
    <row r="80" spans="1:8" s="16" customFormat="1" ht="13.5" thickBot="1" x14ac:dyDescent="0.25">
      <c r="A80" s="120" t="s">
        <v>8</v>
      </c>
      <c r="B80" s="121">
        <f>(B16+B25)/B73</f>
        <v>10.5</v>
      </c>
      <c r="C80" s="122">
        <f>(C16+C25)/C73</f>
        <v>9.0769230769230784</v>
      </c>
      <c r="D80" s="122">
        <f>(D16+D25)/D73</f>
        <v>8.1702127659574479</v>
      </c>
      <c r="E80" s="122">
        <f>(E16+E25)/E73</f>
        <v>8.9574468085106389</v>
      </c>
      <c r="F80" s="122">
        <f>(F16+F25)/F73</f>
        <v>9.1224489795918373</v>
      </c>
      <c r="G80" s="123">
        <f>AVERAGE(B80:F80)</f>
        <v>9.1654063261965995</v>
      </c>
      <c r="H80" s="19"/>
    </row>
    <row r="81" spans="1:8" x14ac:dyDescent="0.2">
      <c r="B81" s="7"/>
      <c r="C81" s="7"/>
      <c r="D81" s="7"/>
      <c r="E81" s="7"/>
      <c r="G81" s="7"/>
      <c r="H81" s="5"/>
    </row>
    <row r="82" spans="1:8" ht="13.5" thickBot="1" x14ac:dyDescent="0.25">
      <c r="A82" s="2"/>
    </row>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s="16" customFormat="1" ht="13.5" thickBot="1" x14ac:dyDescent="0.25">
      <c r="A85" s="120" t="s">
        <v>14</v>
      </c>
      <c r="B85" s="121">
        <f>B56/B73</f>
        <v>313.67999999999995</v>
      </c>
      <c r="C85" s="122">
        <f>C56/C73</f>
        <v>291.69230769230774</v>
      </c>
      <c r="D85" s="122">
        <f>D56/D73</f>
        <v>296.93617021276594</v>
      </c>
      <c r="E85" s="122">
        <f>E56/E73</f>
        <v>300.38297872340428</v>
      </c>
      <c r="F85" s="122">
        <f>F56/F73</f>
        <v>291.12244897959187</v>
      </c>
      <c r="G85" s="123">
        <f>AVERAGE(B85:F85)</f>
        <v>298.76278112161395</v>
      </c>
      <c r="H85" s="19"/>
    </row>
    <row r="86" spans="1:8" x14ac:dyDescent="0.2">
      <c r="B86" s="7"/>
      <c r="C86" s="7"/>
      <c r="D86" s="7"/>
      <c r="E86" s="7"/>
      <c r="F86" s="7"/>
      <c r="G86" s="7"/>
      <c r="H86" s="5"/>
    </row>
    <row r="87" spans="1:8" ht="13.5" thickBot="1" x14ac:dyDescent="0.25">
      <c r="A87" s="2"/>
    </row>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s="16" customFormat="1" ht="13.5" thickBot="1" x14ac:dyDescent="0.25">
      <c r="A90" s="120" t="s">
        <v>15</v>
      </c>
      <c r="B90" s="124">
        <v>1015924</v>
      </c>
      <c r="C90" s="124">
        <v>1039044</v>
      </c>
      <c r="D90" s="124">
        <f>1211623.71+18761.28</f>
        <v>1230384.99</v>
      </c>
      <c r="E90" s="125">
        <f>1297806.72+14096.12+7899</f>
        <v>1319801.8400000001</v>
      </c>
      <c r="F90" s="128"/>
      <c r="G90" s="126">
        <f>AVERAGE(B90:E90)</f>
        <v>1151288.7075</v>
      </c>
      <c r="H90" s="19"/>
    </row>
    <row r="91" spans="1:8" x14ac:dyDescent="0.2">
      <c r="A91" s="148" t="s">
        <v>80</v>
      </c>
      <c r="B91" s="7"/>
      <c r="C91" s="7"/>
      <c r="D91" s="7"/>
      <c r="E91" s="7"/>
      <c r="F91" s="7"/>
      <c r="G91" s="7"/>
      <c r="H91" s="5"/>
    </row>
    <row r="92" spans="1:8" ht="13.5" thickBot="1" x14ac:dyDescent="0.25">
      <c r="E92" s="24"/>
      <c r="F92" s="24"/>
    </row>
    <row r="93" spans="1:8" x14ac:dyDescent="0.2">
      <c r="A93" s="152" t="s">
        <v>54</v>
      </c>
      <c r="B93" s="153"/>
      <c r="C93" s="154"/>
      <c r="D93" s="154"/>
      <c r="E93" s="154"/>
      <c r="F93" s="155"/>
      <c r="G93" s="156"/>
    </row>
    <row r="94" spans="1:8" x14ac:dyDescent="0.2">
      <c r="A94" s="149"/>
      <c r="B94" s="150" t="s">
        <v>66</v>
      </c>
      <c r="C94" s="150" t="s">
        <v>68</v>
      </c>
      <c r="D94" s="150" t="s">
        <v>70</v>
      </c>
      <c r="E94" s="150" t="s">
        <v>76</v>
      </c>
      <c r="F94" s="151" t="s">
        <v>81</v>
      </c>
      <c r="G94" s="157" t="s">
        <v>1</v>
      </c>
    </row>
    <row r="95" spans="1:8" ht="13.5" thickBot="1" x14ac:dyDescent="0.25">
      <c r="A95" s="120" t="s">
        <v>16</v>
      </c>
      <c r="B95" s="158">
        <f>B90/B56</f>
        <v>194.32364192807958</v>
      </c>
      <c r="C95" s="158">
        <f>C90/C56</f>
        <v>205.50712025316454</v>
      </c>
      <c r="D95" s="158">
        <f>D90/D56</f>
        <v>264.48516552020635</v>
      </c>
      <c r="E95" s="158">
        <f>E90/E56</f>
        <v>280.45087972800684</v>
      </c>
      <c r="F95" s="158">
        <f>F90/F56</f>
        <v>0</v>
      </c>
      <c r="G95" s="126">
        <f>AVERAGE(B95:E95)</f>
        <v>236.19170185736434</v>
      </c>
    </row>
    <row r="96" spans="1:8" s="16" customFormat="1" x14ac:dyDescent="0.2">
      <c r="H96" s="52"/>
    </row>
    <row r="102" spans="1:8" x14ac:dyDescent="0.2">
      <c r="A102" s="35"/>
      <c r="B102" s="35"/>
      <c r="C102" s="35"/>
      <c r="D102" s="35"/>
      <c r="E102" s="35"/>
      <c r="F102" s="35"/>
      <c r="G102" s="35"/>
      <c r="H102" s="53"/>
    </row>
    <row r="104" spans="1:8" x14ac:dyDescent="0.2">
      <c r="A104" s="34"/>
      <c r="B104" s="34"/>
      <c r="C104" s="34"/>
      <c r="D104" s="34"/>
      <c r="E104" s="34"/>
      <c r="F104" s="34"/>
      <c r="G104" s="34"/>
      <c r="H104" s="54"/>
    </row>
    <row r="105" spans="1:8" x14ac:dyDescent="0.2">
      <c r="A105" s="34"/>
      <c r="B105" s="34"/>
      <c r="C105" s="34"/>
      <c r="D105" s="34"/>
      <c r="E105" s="34"/>
      <c r="F105" s="34"/>
      <c r="G105" s="34"/>
      <c r="H105" s="54"/>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9"/>
  <sheetViews>
    <sheetView topLeftCell="A7"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43" t="s">
        <v>38</v>
      </c>
      <c r="C6" s="142"/>
      <c r="D6" s="142"/>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3">
        <v>27</v>
      </c>
      <c r="C13" s="3">
        <v>34</v>
      </c>
      <c r="D13" s="62">
        <v>37</v>
      </c>
      <c r="E13" s="3">
        <v>39</v>
      </c>
      <c r="F13" s="3">
        <v>31</v>
      </c>
      <c r="G13" s="110">
        <f>AVERAGE(B13:F13)</f>
        <v>33.6</v>
      </c>
    </row>
    <row r="14" spans="1:8" x14ac:dyDescent="0.2">
      <c r="A14" s="87" t="s">
        <v>4</v>
      </c>
      <c r="B14" s="3">
        <v>6</v>
      </c>
      <c r="C14" s="3">
        <v>5</v>
      </c>
      <c r="D14" s="62">
        <v>11</v>
      </c>
      <c r="E14" s="3">
        <v>4</v>
      </c>
      <c r="F14" s="3">
        <v>8</v>
      </c>
      <c r="G14" s="110">
        <f>AVERAGE(B14:F14)</f>
        <v>6.8</v>
      </c>
    </row>
    <row r="15" spans="1:8" x14ac:dyDescent="0.2">
      <c r="A15" s="87" t="s">
        <v>5</v>
      </c>
      <c r="B15" s="3">
        <f>SUM(B13:B14)</f>
        <v>33</v>
      </c>
      <c r="C15" s="3">
        <f>SUM(C13:C14)</f>
        <v>39</v>
      </c>
      <c r="D15" s="3">
        <f>SUM(D13:D14)</f>
        <v>48</v>
      </c>
      <c r="E15" s="62">
        <f>SUM(E13:E14)</f>
        <v>43</v>
      </c>
      <c r="F15" s="62">
        <f>SUM(F13:F14)</f>
        <v>39</v>
      </c>
      <c r="G15" s="94">
        <f>AVERAGE(B15:F15)</f>
        <v>40.4</v>
      </c>
    </row>
    <row r="16" spans="1:8" x14ac:dyDescent="0.2">
      <c r="A16" s="111" t="s">
        <v>61</v>
      </c>
      <c r="B16" s="9">
        <f>B13+(B14/3)</f>
        <v>29</v>
      </c>
      <c r="C16" s="9">
        <f>C13+(C14/3)</f>
        <v>35.666666666666664</v>
      </c>
      <c r="D16" s="9">
        <f>D13+(D14/3)</f>
        <v>40.666666666666664</v>
      </c>
      <c r="E16" s="63">
        <f>E13+(E14/3)</f>
        <v>40.333333333333336</v>
      </c>
      <c r="F16" s="63">
        <f>F13+(F14/3)</f>
        <v>33.666666666666664</v>
      </c>
      <c r="G16" s="94">
        <f>AVERAGE(B16:F16)</f>
        <v>35.86666666666666</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61</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8">
        <v>3</v>
      </c>
      <c r="C32" s="8">
        <v>4</v>
      </c>
      <c r="D32" s="8">
        <v>3</v>
      </c>
      <c r="E32" s="3">
        <v>2</v>
      </c>
      <c r="F32" s="3">
        <v>5</v>
      </c>
      <c r="G32" s="94">
        <f>AVERAGE(B32:F32)</f>
        <v>3.4</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11</v>
      </c>
      <c r="C42" s="9">
        <f>C15/C32</f>
        <v>9.75</v>
      </c>
      <c r="D42" s="9">
        <f>D15/D32</f>
        <v>16</v>
      </c>
      <c r="E42" s="9">
        <f>E15/E32</f>
        <v>21.5</v>
      </c>
      <c r="F42" s="9">
        <f>F15/F32</f>
        <v>7.8</v>
      </c>
      <c r="G42" s="94">
        <f>AVERAGE(B42:F42)</f>
        <v>13.209999999999999</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c r="C46" s="96"/>
      <c r="D46" s="96"/>
      <c r="E46" s="96"/>
      <c r="F46" s="96"/>
      <c r="G46" s="97"/>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3396</v>
      </c>
      <c r="C54" s="10">
        <v>3518</v>
      </c>
      <c r="D54" s="10">
        <v>3253</v>
      </c>
      <c r="E54" s="10">
        <v>3314</v>
      </c>
      <c r="F54" s="10">
        <v>3060</v>
      </c>
      <c r="G54" s="103">
        <f>AVERAGE(B54:F54)</f>
        <v>3308.2</v>
      </c>
    </row>
    <row r="55" spans="1:7" x14ac:dyDescent="0.2">
      <c r="A55" s="87" t="s">
        <v>12</v>
      </c>
      <c r="B55" s="10">
        <v>39</v>
      </c>
      <c r="C55" s="10">
        <v>36</v>
      </c>
      <c r="D55" s="10">
        <v>48</v>
      </c>
      <c r="E55" s="10">
        <v>57</v>
      </c>
      <c r="F55" s="10">
        <v>75</v>
      </c>
      <c r="G55" s="103">
        <f>AVERAGE(B55:F55)</f>
        <v>51</v>
      </c>
    </row>
    <row r="56" spans="1:7" ht="13.5" thickBot="1" x14ac:dyDescent="0.25">
      <c r="A56" s="98" t="s">
        <v>5</v>
      </c>
      <c r="B56" s="106">
        <f>SUM(B54:B55)</f>
        <v>3435</v>
      </c>
      <c r="C56" s="106">
        <f>SUM(C54:C55)</f>
        <v>3554</v>
      </c>
      <c r="D56" s="106">
        <f>SUM(D54:D55)</f>
        <v>3301</v>
      </c>
      <c r="E56" s="106">
        <f>SUM(E54:E55)</f>
        <v>3371</v>
      </c>
      <c r="F56" s="106">
        <f>SUM(F54:F55)</f>
        <v>3135</v>
      </c>
      <c r="G56" s="105">
        <f>AVERAGE(B56:F56)</f>
        <v>3359.2</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18.600000000000001</v>
      </c>
      <c r="C62" s="3">
        <v>20.9</v>
      </c>
      <c r="D62" s="3">
        <v>18.3</v>
      </c>
      <c r="E62" s="86">
        <v>18.2</v>
      </c>
      <c r="F62" s="86">
        <v>16.100000000000001</v>
      </c>
      <c r="G62" s="94">
        <f>AVERAGE(B62:F62)</f>
        <v>18.419999999999998</v>
      </c>
    </row>
    <row r="63" spans="1:7" ht="13.5" thickBot="1" x14ac:dyDescent="0.25">
      <c r="A63" s="98" t="s">
        <v>12</v>
      </c>
      <c r="B63" s="104">
        <v>6.5</v>
      </c>
      <c r="C63" s="104">
        <v>9</v>
      </c>
      <c r="D63" s="104">
        <v>8</v>
      </c>
      <c r="E63" s="104">
        <v>11</v>
      </c>
      <c r="F63" s="104">
        <v>15</v>
      </c>
      <c r="G63" s="97">
        <f>AVERAGE(B63:F63)</f>
        <v>9.9</v>
      </c>
    </row>
    <row r="64" spans="1:7" x14ac:dyDescent="0.2">
      <c r="A64" s="14"/>
    </row>
    <row r="65" spans="1:7" x14ac:dyDescent="0.2">
      <c r="A65"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7</v>
      </c>
      <c r="C70" s="3">
        <v>7</v>
      </c>
      <c r="D70" s="3">
        <v>8</v>
      </c>
      <c r="E70" s="3">
        <v>7</v>
      </c>
      <c r="F70" s="3">
        <v>7</v>
      </c>
      <c r="G70" s="94">
        <f>AVERAGE(B70:F70)</f>
        <v>7.2</v>
      </c>
    </row>
    <row r="71" spans="1:7" x14ac:dyDescent="0.2">
      <c r="A71" s="87" t="s">
        <v>4</v>
      </c>
      <c r="B71" s="3">
        <v>2</v>
      </c>
      <c r="C71" s="3">
        <v>1</v>
      </c>
      <c r="D71" s="3">
        <v>0</v>
      </c>
      <c r="E71" s="3">
        <v>0</v>
      </c>
      <c r="F71" s="3">
        <v>0</v>
      </c>
      <c r="G71" s="94">
        <f>AVERAGE(B71:F71)</f>
        <v>0.6</v>
      </c>
    </row>
    <row r="72" spans="1:7" x14ac:dyDescent="0.2">
      <c r="A72" s="87" t="s">
        <v>5</v>
      </c>
      <c r="B72" s="3">
        <f>SUM(B70:B71)</f>
        <v>9</v>
      </c>
      <c r="C72" s="3">
        <f>SUM(C70:C71)</f>
        <v>8</v>
      </c>
      <c r="D72" s="3">
        <f>SUM(D70:D71)</f>
        <v>8</v>
      </c>
      <c r="E72" s="3">
        <f>SUM(E70:E71)</f>
        <v>7</v>
      </c>
      <c r="F72" s="3">
        <f>SUM(F70:F71)</f>
        <v>7</v>
      </c>
      <c r="G72" s="94">
        <f>AVERAGE(B72:F72)</f>
        <v>7.8</v>
      </c>
    </row>
    <row r="73" spans="1:7" ht="13.5" thickBot="1" x14ac:dyDescent="0.25">
      <c r="A73" s="95" t="s">
        <v>62</v>
      </c>
      <c r="B73" s="96">
        <f>B70+(B71/3)</f>
        <v>7.666666666666667</v>
      </c>
      <c r="C73" s="96">
        <f>C70+(C71/3)</f>
        <v>7.333333333333333</v>
      </c>
      <c r="D73" s="96">
        <f>D70+(D71/3)</f>
        <v>8</v>
      </c>
      <c r="E73" s="96">
        <f>E70+(E71/3)</f>
        <v>7</v>
      </c>
      <c r="F73" s="96">
        <f>F70+(F71/3)</f>
        <v>7</v>
      </c>
      <c r="G73" s="97">
        <f>AVERAGE(B73:F73)</f>
        <v>7.4</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3.7826086956521738</v>
      </c>
      <c r="C80" s="96">
        <f>(C16+C25)/C73</f>
        <v>4.8636363636363633</v>
      </c>
      <c r="D80" s="96">
        <f>(D16+D25)/D73</f>
        <v>5.083333333333333</v>
      </c>
      <c r="E80" s="96">
        <f>(E16+E25)/E73</f>
        <v>5.7619047619047619</v>
      </c>
      <c r="F80" s="96">
        <f>(F16+F25)/F73</f>
        <v>4.8095238095238093</v>
      </c>
      <c r="G80" s="97">
        <f>AVERAGE(B80:F80)</f>
        <v>4.8602013928100884</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448.04347826086956</v>
      </c>
      <c r="C85" s="96">
        <f>C56/C73</f>
        <v>484.63636363636368</v>
      </c>
      <c r="D85" s="96">
        <f>D56/D73</f>
        <v>412.625</v>
      </c>
      <c r="E85" s="96">
        <f>E56/E73</f>
        <v>481.57142857142856</v>
      </c>
      <c r="F85" s="96">
        <f>F56/F73</f>
        <v>447.85714285714283</v>
      </c>
      <c r="G85" s="97">
        <f>AVERAGE(B85:F85)</f>
        <v>454.94668266516089</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18">
        <v>561154</v>
      </c>
      <c r="C90" s="118">
        <v>576627</v>
      </c>
      <c r="D90" s="118">
        <f>644154.7+32354.52</f>
        <v>676509.22</v>
      </c>
      <c r="E90" s="100">
        <f>659396.77+5465.83</f>
        <v>664862.6</v>
      </c>
      <c r="F90" s="104"/>
      <c r="G90" s="101">
        <f>AVERAGE(B90:E90)</f>
        <v>619788.20499999996</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163.36360989810771</v>
      </c>
      <c r="C95" s="102">
        <f>C90/C56</f>
        <v>162.24732695554306</v>
      </c>
      <c r="D95" s="102">
        <f>D90/D56</f>
        <v>204.94069069978792</v>
      </c>
      <c r="E95" s="102">
        <f>E90/E56</f>
        <v>197.2300800949273</v>
      </c>
      <c r="F95" s="102">
        <f>F90/F56</f>
        <v>0</v>
      </c>
      <c r="G95" s="101">
        <f>AVERAGE(B95:F95)</f>
        <v>145.5563415296732</v>
      </c>
    </row>
    <row r="99" spans="1:2" x14ac:dyDescent="0.2">
      <c r="A99" s="19"/>
      <c r="B99" s="19"/>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opLeftCell="A46"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43" t="s">
        <v>22</v>
      </c>
      <c r="C6" s="142"/>
      <c r="D6" s="142"/>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3">
        <v>157</v>
      </c>
      <c r="C13" s="3">
        <v>164</v>
      </c>
      <c r="D13" s="62">
        <v>158</v>
      </c>
      <c r="E13" s="3">
        <v>151</v>
      </c>
      <c r="F13" s="3">
        <v>125</v>
      </c>
      <c r="G13" s="110">
        <f>AVERAGE(B13:F13)</f>
        <v>151</v>
      </c>
    </row>
    <row r="14" spans="1:8" x14ac:dyDescent="0.2">
      <c r="A14" s="87" t="s">
        <v>4</v>
      </c>
      <c r="B14" s="3">
        <v>24</v>
      </c>
      <c r="C14" s="3">
        <v>31</v>
      </c>
      <c r="D14" s="62">
        <v>33</v>
      </c>
      <c r="E14" s="3">
        <v>30</v>
      </c>
      <c r="F14" s="3">
        <v>35</v>
      </c>
      <c r="G14" s="110">
        <f>AVERAGE(B14:F14)</f>
        <v>30.6</v>
      </c>
    </row>
    <row r="15" spans="1:8" x14ac:dyDescent="0.2">
      <c r="A15" s="87" t="s">
        <v>5</v>
      </c>
      <c r="B15" s="3">
        <f>SUM(B13:B14)</f>
        <v>181</v>
      </c>
      <c r="C15" s="3">
        <f>SUM(C13:C14)</f>
        <v>195</v>
      </c>
      <c r="D15" s="3">
        <f>SUM(D13:D14)</f>
        <v>191</v>
      </c>
      <c r="E15" s="62">
        <f>SUM(E13:E14)</f>
        <v>181</v>
      </c>
      <c r="F15" s="62">
        <f>SUM(F13:F14)</f>
        <v>160</v>
      </c>
      <c r="G15" s="94">
        <f>AVERAGE(B15:F15)</f>
        <v>181.6</v>
      </c>
    </row>
    <row r="16" spans="1:8" x14ac:dyDescent="0.2">
      <c r="A16" s="111" t="s">
        <v>61</v>
      </c>
      <c r="B16" s="9">
        <f>B13+(B14/3)</f>
        <v>165</v>
      </c>
      <c r="C16" s="9">
        <f>C13+(C14/3)</f>
        <v>174.33333333333334</v>
      </c>
      <c r="D16" s="9">
        <f>D13+(D14/3)</f>
        <v>169</v>
      </c>
      <c r="E16" s="63">
        <f>E13+(E14/3)</f>
        <v>161</v>
      </c>
      <c r="F16" s="63">
        <f>F13+(F14/3)</f>
        <v>136.66666666666666</v>
      </c>
      <c r="G16" s="94">
        <f>AVERAGE(B16:F16)</f>
        <v>161.19999999999999</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61</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8">
        <v>26</v>
      </c>
      <c r="C32" s="8">
        <v>30</v>
      </c>
      <c r="D32" s="8">
        <v>24</v>
      </c>
      <c r="E32" s="3">
        <v>27</v>
      </c>
      <c r="F32" s="3">
        <v>26</v>
      </c>
      <c r="G32" s="94">
        <f>AVERAGE(B32:F32)</f>
        <v>26.6</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6.9615384615384617</v>
      </c>
      <c r="C42" s="9">
        <f>C15/C32</f>
        <v>6.5</v>
      </c>
      <c r="D42" s="9">
        <f>D15/D32</f>
        <v>7.958333333333333</v>
      </c>
      <c r="E42" s="9">
        <f>E15/E32</f>
        <v>6.7037037037037033</v>
      </c>
      <c r="F42" s="9">
        <f>F15/F32</f>
        <v>6.1538461538461542</v>
      </c>
      <c r="G42" s="94">
        <f>AVERAGE(B42:F42)</f>
        <v>6.8554843304843303</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c r="C46" s="96"/>
      <c r="D46" s="96"/>
      <c r="E46" s="96"/>
      <c r="F46" s="96"/>
      <c r="G46" s="97"/>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3686</v>
      </c>
      <c r="C54" s="10">
        <v>4059</v>
      </c>
      <c r="D54" s="10">
        <v>4178</v>
      </c>
      <c r="E54" s="10">
        <v>4160</v>
      </c>
      <c r="F54" s="10">
        <v>3870</v>
      </c>
      <c r="G54" s="103">
        <f>AVERAGE(B54:F54)</f>
        <v>3990.6</v>
      </c>
    </row>
    <row r="55" spans="1:7" x14ac:dyDescent="0.2">
      <c r="A55" s="87" t="s">
        <v>12</v>
      </c>
      <c r="B55" s="10"/>
      <c r="C55" s="10"/>
      <c r="D55" s="10"/>
      <c r="E55" s="10"/>
      <c r="F55" s="10"/>
      <c r="G55" s="103"/>
    </row>
    <row r="56" spans="1:7" ht="13.5" thickBot="1" x14ac:dyDescent="0.25">
      <c r="A56" s="98" t="s">
        <v>5</v>
      </c>
      <c r="B56" s="106">
        <f>SUM(B54:B55)</f>
        <v>3686</v>
      </c>
      <c r="C56" s="106">
        <f>SUM(C54:C55)</f>
        <v>4059</v>
      </c>
      <c r="D56" s="106">
        <f>SUM(D54:D55)</f>
        <v>4178</v>
      </c>
      <c r="E56" s="106">
        <f>SUM(E54:E55)</f>
        <v>4160</v>
      </c>
      <c r="F56" s="106">
        <f>SUM(F54:F55)</f>
        <v>3870</v>
      </c>
      <c r="G56" s="105">
        <f>AVERAGE(B56:F56)</f>
        <v>3990.6</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29.7</v>
      </c>
      <c r="C62" s="3">
        <v>34.200000000000003</v>
      </c>
      <c r="D62" s="3">
        <v>30.7</v>
      </c>
      <c r="E62" s="86">
        <v>30</v>
      </c>
      <c r="F62" s="86">
        <v>26.9</v>
      </c>
      <c r="G62" s="94">
        <f>AVERAGE(B62:F62)</f>
        <v>30.3</v>
      </c>
    </row>
    <row r="63" spans="1:7" ht="13.5" thickBot="1" x14ac:dyDescent="0.25">
      <c r="A63" s="98" t="s">
        <v>12</v>
      </c>
      <c r="B63" s="104"/>
      <c r="C63" s="104"/>
      <c r="D63" s="104"/>
      <c r="E63" s="104"/>
      <c r="F63" s="104"/>
      <c r="G63" s="97"/>
    </row>
    <row r="64" spans="1:7" x14ac:dyDescent="0.2">
      <c r="A64" s="14"/>
    </row>
    <row r="65" spans="1:7" x14ac:dyDescent="0.2">
      <c r="A65"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4</v>
      </c>
      <c r="C70" s="3">
        <v>4</v>
      </c>
      <c r="D70" s="3">
        <v>4</v>
      </c>
      <c r="E70" s="3">
        <v>4</v>
      </c>
      <c r="F70" s="3">
        <v>4</v>
      </c>
      <c r="G70" s="94">
        <f>AVERAGE(B70:F70)</f>
        <v>4</v>
      </c>
    </row>
    <row r="71" spans="1:7" x14ac:dyDescent="0.2">
      <c r="A71" s="87" t="s">
        <v>4</v>
      </c>
      <c r="B71" s="3">
        <v>1</v>
      </c>
      <c r="C71" s="3">
        <v>2</v>
      </c>
      <c r="D71" s="3">
        <v>2</v>
      </c>
      <c r="E71" s="3">
        <v>3</v>
      </c>
      <c r="F71" s="3">
        <v>2</v>
      </c>
      <c r="G71" s="94">
        <f>AVERAGE(B71:F71)</f>
        <v>2</v>
      </c>
    </row>
    <row r="72" spans="1:7" x14ac:dyDescent="0.2">
      <c r="A72" s="87" t="s">
        <v>5</v>
      </c>
      <c r="B72" s="3">
        <f>SUM(B70:B71)</f>
        <v>5</v>
      </c>
      <c r="C72" s="3">
        <f>SUM(C70:C71)</f>
        <v>6</v>
      </c>
      <c r="D72" s="3">
        <f>SUM(D70:D71)</f>
        <v>6</v>
      </c>
      <c r="E72" s="3">
        <f>SUM(E70:E71)</f>
        <v>7</v>
      </c>
      <c r="F72" s="3">
        <f>SUM(F70:F71)</f>
        <v>6</v>
      </c>
      <c r="G72" s="94">
        <f>AVERAGE(B72:F72)</f>
        <v>6</v>
      </c>
    </row>
    <row r="73" spans="1:7" ht="13.5" thickBot="1" x14ac:dyDescent="0.25">
      <c r="A73" s="95" t="s">
        <v>62</v>
      </c>
      <c r="B73" s="96">
        <f>B70+(B71/3)</f>
        <v>4.333333333333333</v>
      </c>
      <c r="C73" s="96">
        <f>C70+(C71/3)</f>
        <v>4.666666666666667</v>
      </c>
      <c r="D73" s="96">
        <f>D70+(D71/3)</f>
        <v>4.666666666666667</v>
      </c>
      <c r="E73" s="96">
        <f>E70+(E71/3)</f>
        <v>5</v>
      </c>
      <c r="F73" s="96">
        <f>F70+(F71/3)</f>
        <v>4.666666666666667</v>
      </c>
      <c r="G73" s="97">
        <f>AVERAGE(B73:F73)</f>
        <v>4.666666666666667</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38.07692307692308</v>
      </c>
      <c r="C80" s="96">
        <f>(C16+C25)/C73</f>
        <v>37.357142857142854</v>
      </c>
      <c r="D80" s="96">
        <f>(D16+D25)/D73</f>
        <v>36.214285714285715</v>
      </c>
      <c r="E80" s="96">
        <f>(E16+E25)/E73</f>
        <v>32.200000000000003</v>
      </c>
      <c r="F80" s="96">
        <f>(F16+F25)/F73</f>
        <v>29.285714285714281</v>
      </c>
      <c r="G80" s="97">
        <f>AVERAGE(B80:F80)</f>
        <v>34.62681318681318</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850.61538461538464</v>
      </c>
      <c r="C85" s="96">
        <f>C56/C73</f>
        <v>869.78571428571422</v>
      </c>
      <c r="D85" s="96">
        <f>D56/D73</f>
        <v>895.28571428571422</v>
      </c>
      <c r="E85" s="96">
        <f>E56/E73</f>
        <v>832</v>
      </c>
      <c r="F85" s="96">
        <f>F56/F73</f>
        <v>829.28571428571422</v>
      </c>
      <c r="G85" s="97">
        <f>AVERAGE(B85:F85)</f>
        <v>855.39450549450555</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v>318857</v>
      </c>
      <c r="C90" s="100">
        <v>298799</v>
      </c>
      <c r="D90" s="100">
        <v>381696.02</v>
      </c>
      <c r="E90" s="100">
        <v>382209.48</v>
      </c>
      <c r="F90" s="104"/>
      <c r="G90" s="101">
        <f>AVERAGE(B90:E90)</f>
        <v>345390.375</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86.504883342376559</v>
      </c>
      <c r="C95" s="102">
        <f>C90/C56</f>
        <v>73.6139443212614</v>
      </c>
      <c r="D95" s="102">
        <f>D90/D56</f>
        <v>91.358549545236954</v>
      </c>
      <c r="E95" s="102">
        <f>E90/E56</f>
        <v>91.877278846153843</v>
      </c>
      <c r="F95" s="102">
        <f>F90/F56</f>
        <v>0</v>
      </c>
      <c r="G95" s="101">
        <f>AVERAGE(B95:F95)</f>
        <v>68.670931211005751</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opLeftCell="A43"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62" t="s">
        <v>41</v>
      </c>
      <c r="C6" s="164"/>
      <c r="D6" s="164"/>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10"/>
    </row>
    <row r="13" spans="1:8" x14ac:dyDescent="0.2">
      <c r="A13" s="87" t="s">
        <v>3</v>
      </c>
      <c r="B13" s="3">
        <v>74</v>
      </c>
      <c r="C13" s="3">
        <v>82</v>
      </c>
      <c r="D13" s="62">
        <v>80</v>
      </c>
      <c r="E13" s="3">
        <v>69</v>
      </c>
      <c r="F13" s="3">
        <v>61</v>
      </c>
      <c r="G13" s="110">
        <f>AVERAGE(B13:F13)</f>
        <v>73.2</v>
      </c>
    </row>
    <row r="14" spans="1:8" x14ac:dyDescent="0.2">
      <c r="A14" s="87" t="s">
        <v>4</v>
      </c>
      <c r="B14" s="3">
        <v>19</v>
      </c>
      <c r="C14" s="3">
        <v>23</v>
      </c>
      <c r="D14" s="62">
        <v>20</v>
      </c>
      <c r="E14" s="3">
        <v>36</v>
      </c>
      <c r="F14" s="3">
        <v>28</v>
      </c>
      <c r="G14" s="110">
        <f>AVERAGE(B14:F14)</f>
        <v>25.2</v>
      </c>
    </row>
    <row r="15" spans="1:8" x14ac:dyDescent="0.2">
      <c r="A15" s="87" t="s">
        <v>5</v>
      </c>
      <c r="B15" s="3">
        <f>SUM(B13:B14)</f>
        <v>93</v>
      </c>
      <c r="C15" s="3">
        <f>SUM(C13:C14)</f>
        <v>105</v>
      </c>
      <c r="D15" s="3">
        <f>SUM(D13:D14)</f>
        <v>100</v>
      </c>
      <c r="E15" s="62">
        <f>SUM(E13:E14)</f>
        <v>105</v>
      </c>
      <c r="F15" s="62">
        <f>SUM(F13:F14)</f>
        <v>89</v>
      </c>
      <c r="G15" s="94">
        <f>AVERAGE(B15:F15)</f>
        <v>98.4</v>
      </c>
    </row>
    <row r="16" spans="1:8" x14ac:dyDescent="0.2">
      <c r="A16" s="111" t="s">
        <v>61</v>
      </c>
      <c r="B16" s="9">
        <f>B13+(B14/3)</f>
        <v>80.333333333333329</v>
      </c>
      <c r="C16" s="9">
        <f>C13+(C14/3)</f>
        <v>89.666666666666671</v>
      </c>
      <c r="D16" s="9">
        <f>D13+(D14/3)</f>
        <v>86.666666666666671</v>
      </c>
      <c r="E16" s="63">
        <f>E13+(E14/3)</f>
        <v>81</v>
      </c>
      <c r="F16" s="63">
        <f>F13+(F14/3)</f>
        <v>70.333333333333329</v>
      </c>
      <c r="G16" s="94">
        <f>AVERAGE(B16:F16)</f>
        <v>81.599999999999994</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61</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3">
        <v>19</v>
      </c>
      <c r="C32" s="3">
        <v>26</v>
      </c>
      <c r="D32" s="3">
        <v>18</v>
      </c>
      <c r="E32" s="3">
        <v>26</v>
      </c>
      <c r="F32" s="3">
        <v>15</v>
      </c>
      <c r="G32" s="94">
        <f>AVERAGE(B32:F32)</f>
        <v>20.8</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4.8947368421052628</v>
      </c>
      <c r="C42" s="9">
        <f>C15/C32</f>
        <v>4.0384615384615383</v>
      </c>
      <c r="D42" s="9">
        <f>D15/D32</f>
        <v>5.5555555555555554</v>
      </c>
      <c r="E42" s="9">
        <f>E15/E32</f>
        <v>4.0384615384615383</v>
      </c>
      <c r="F42" s="9">
        <f>F15/F32</f>
        <v>5.9333333333333336</v>
      </c>
      <c r="G42" s="94">
        <f>AVERAGE(B42:F42)</f>
        <v>4.8921097615834457</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c r="C46" s="96"/>
      <c r="D46" s="96"/>
      <c r="E46" s="96"/>
      <c r="F46" s="96"/>
      <c r="G46" s="97"/>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4331</v>
      </c>
      <c r="C54" s="10">
        <v>4435</v>
      </c>
      <c r="D54" s="10">
        <v>4509</v>
      </c>
      <c r="E54" s="10">
        <f>585+3834</f>
        <v>4419</v>
      </c>
      <c r="F54" s="10">
        <v>3849</v>
      </c>
      <c r="G54" s="103">
        <f>AVERAGE(B54:F54)</f>
        <v>4308.6000000000004</v>
      </c>
    </row>
    <row r="55" spans="1:7" x14ac:dyDescent="0.2">
      <c r="A55" s="87" t="s">
        <v>12</v>
      </c>
      <c r="B55" s="10"/>
      <c r="C55" s="10"/>
      <c r="D55" s="10"/>
      <c r="E55" s="10"/>
      <c r="F55" s="10"/>
      <c r="G55" s="103"/>
    </row>
    <row r="56" spans="1:7" ht="13.5" thickBot="1" x14ac:dyDescent="0.25">
      <c r="A56" s="98" t="s">
        <v>5</v>
      </c>
      <c r="B56" s="106">
        <f>SUM(B54:B55)</f>
        <v>4331</v>
      </c>
      <c r="C56" s="106">
        <f>SUM(C54:C55)</f>
        <v>4435</v>
      </c>
      <c r="D56" s="106">
        <f>SUM(D54:D55)</f>
        <v>4509</v>
      </c>
      <c r="E56" s="106">
        <f>SUM(E54:E55)</f>
        <v>4419</v>
      </c>
      <c r="F56" s="106">
        <f>SUM(F54:F55)</f>
        <v>3849</v>
      </c>
      <c r="G56" s="105">
        <f>AVERAGE(B56:F56)</f>
        <v>4308.6000000000004</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47">
        <v>24</v>
      </c>
      <c r="C62" s="47">
        <v>23</v>
      </c>
      <c r="D62" s="47">
        <v>24.5</v>
      </c>
      <c r="E62" s="86">
        <v>24.6</v>
      </c>
      <c r="F62" s="86">
        <v>23.3</v>
      </c>
      <c r="G62" s="94">
        <f>AVERAGE(B62:F62)</f>
        <v>23.88</v>
      </c>
    </row>
    <row r="63" spans="1:7" ht="13.5" thickBot="1" x14ac:dyDescent="0.25">
      <c r="A63" s="98" t="s">
        <v>12</v>
      </c>
      <c r="B63" s="104"/>
      <c r="C63" s="104"/>
      <c r="D63" s="104"/>
      <c r="E63" s="104"/>
      <c r="F63" s="104"/>
      <c r="G63" s="97"/>
    </row>
    <row r="64" spans="1:7" x14ac:dyDescent="0.2">
      <c r="A64"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4</v>
      </c>
      <c r="C70" s="3">
        <v>4</v>
      </c>
      <c r="D70" s="3">
        <v>5</v>
      </c>
      <c r="E70" s="3">
        <v>5</v>
      </c>
      <c r="F70" s="3">
        <v>6</v>
      </c>
      <c r="G70" s="94">
        <f>AVERAGE(B70:F70)</f>
        <v>4.8</v>
      </c>
    </row>
    <row r="71" spans="1:7" x14ac:dyDescent="0.2">
      <c r="A71" s="87" t="s">
        <v>4</v>
      </c>
      <c r="B71" s="3">
        <v>1</v>
      </c>
      <c r="C71" s="3">
        <v>3</v>
      </c>
      <c r="D71" s="3">
        <v>1</v>
      </c>
      <c r="E71" s="3">
        <v>2</v>
      </c>
      <c r="F71" s="3">
        <v>1</v>
      </c>
      <c r="G71" s="94">
        <f>AVERAGE(B71:F71)</f>
        <v>1.6</v>
      </c>
    </row>
    <row r="72" spans="1:7" x14ac:dyDescent="0.2">
      <c r="A72" s="87" t="s">
        <v>5</v>
      </c>
      <c r="B72" s="3">
        <f>SUM(B70:B71)</f>
        <v>5</v>
      </c>
      <c r="C72" s="3">
        <f>SUM(C70:C71)</f>
        <v>7</v>
      </c>
      <c r="D72" s="3">
        <f>SUM(D70:D71)</f>
        <v>6</v>
      </c>
      <c r="E72" s="3">
        <f>SUM(E70:E71)</f>
        <v>7</v>
      </c>
      <c r="F72" s="3">
        <f>SUM(F70:F71)</f>
        <v>7</v>
      </c>
      <c r="G72" s="94">
        <f>AVERAGE(B72:F72)</f>
        <v>6.4</v>
      </c>
    </row>
    <row r="73" spans="1:7" ht="13.5" thickBot="1" x14ac:dyDescent="0.25">
      <c r="A73" s="95" t="s">
        <v>62</v>
      </c>
      <c r="B73" s="96">
        <f>B70+(B71/3)</f>
        <v>4.333333333333333</v>
      </c>
      <c r="C73" s="96">
        <f>C70+(C71/3)</f>
        <v>5</v>
      </c>
      <c r="D73" s="96">
        <f>D70+(D71/3)</f>
        <v>5.333333333333333</v>
      </c>
      <c r="E73" s="96">
        <f>E70+(E71/3)</f>
        <v>5.666666666666667</v>
      </c>
      <c r="F73" s="96">
        <f>F70+(F71/3)</f>
        <v>6.333333333333333</v>
      </c>
      <c r="G73" s="97">
        <f>AVERAGE(B73:F73)</f>
        <v>5.333333333333333</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18.53846153846154</v>
      </c>
      <c r="C80" s="96">
        <f>(C16+C25)/C73</f>
        <v>17.933333333333334</v>
      </c>
      <c r="D80" s="96">
        <f>(D16+D25)/D73</f>
        <v>16.250000000000004</v>
      </c>
      <c r="E80" s="96">
        <f>(E16+E25)/E73</f>
        <v>14.294117647058822</v>
      </c>
      <c r="F80" s="96">
        <f>(F16+F25)/F73</f>
        <v>11.105263157894736</v>
      </c>
      <c r="G80" s="97">
        <f>AVERAGE(B80:F80)</f>
        <v>15.624235135349688</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999.46153846153857</v>
      </c>
      <c r="C85" s="96">
        <f>C56/C73</f>
        <v>887</v>
      </c>
      <c r="D85" s="96">
        <f>D56/D73</f>
        <v>845.4375</v>
      </c>
      <c r="E85" s="96">
        <f>E56/E73</f>
        <v>779.82352941176464</v>
      </c>
      <c r="F85" s="96">
        <f>F56/F73</f>
        <v>607.73684210526324</v>
      </c>
      <c r="G85" s="97">
        <f>AVERAGE(B85:F85)</f>
        <v>823.89188199571322</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v>413437</v>
      </c>
      <c r="C90" s="100">
        <v>424729</v>
      </c>
      <c r="D90" s="100">
        <f>481054.18</f>
        <v>481054.18</v>
      </c>
      <c r="E90" s="100">
        <v>477494.84</v>
      </c>
      <c r="F90" s="104"/>
      <c r="G90" s="101">
        <f>AVERAGE(B90:E90)</f>
        <v>449178.755</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95.459939967674899</v>
      </c>
      <c r="C95" s="102">
        <f>C90/C56</f>
        <v>95.767531003382189</v>
      </c>
      <c r="D95" s="102">
        <f>D90/D56</f>
        <v>106.68755378132623</v>
      </c>
      <c r="E95" s="102">
        <f>E90/E56</f>
        <v>108.0549536094139</v>
      </c>
      <c r="F95" s="102">
        <f>F90/F56</f>
        <v>0</v>
      </c>
      <c r="G95" s="101">
        <f>AVERAGE(B95:F95)</f>
        <v>81.193995672359435</v>
      </c>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0"/>
  <sheetViews>
    <sheetView topLeftCell="A43"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62" t="s">
        <v>56</v>
      </c>
      <c r="C6" s="164"/>
      <c r="D6" s="164"/>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3">
        <v>151</v>
      </c>
      <c r="C13" s="3">
        <v>191</v>
      </c>
      <c r="D13" s="62">
        <v>194</v>
      </c>
      <c r="E13" s="3">
        <v>227</v>
      </c>
      <c r="F13" s="3">
        <v>225</v>
      </c>
      <c r="G13" s="110">
        <f>AVERAGE(B13:F13)</f>
        <v>197.6</v>
      </c>
    </row>
    <row r="14" spans="1:8" x14ac:dyDescent="0.2">
      <c r="A14" s="87" t="s">
        <v>4</v>
      </c>
      <c r="B14" s="3">
        <v>29</v>
      </c>
      <c r="C14" s="3">
        <v>27</v>
      </c>
      <c r="D14" s="62">
        <v>29</v>
      </c>
      <c r="E14" s="3">
        <v>32</v>
      </c>
      <c r="F14" s="3">
        <v>25</v>
      </c>
      <c r="G14" s="110">
        <f>AVERAGE(B14:F14)</f>
        <v>28.4</v>
      </c>
    </row>
    <row r="15" spans="1:8" x14ac:dyDescent="0.2">
      <c r="A15" s="87" t="s">
        <v>5</v>
      </c>
      <c r="B15" s="3">
        <f>SUM(B13:B14)</f>
        <v>180</v>
      </c>
      <c r="C15" s="3">
        <f>SUM(C13:C14)</f>
        <v>218</v>
      </c>
      <c r="D15" s="3">
        <f>SUM(D13:D14)</f>
        <v>223</v>
      </c>
      <c r="E15" s="62">
        <f>SUM(E13:E14)</f>
        <v>259</v>
      </c>
      <c r="F15" s="62">
        <f>SUM(F13:F14)</f>
        <v>250</v>
      </c>
      <c r="G15" s="94">
        <f>AVERAGE(B15:F15)</f>
        <v>226</v>
      </c>
    </row>
    <row r="16" spans="1:8" x14ac:dyDescent="0.2">
      <c r="A16" s="111" t="s">
        <v>61</v>
      </c>
      <c r="B16" s="9">
        <f>B13+(B14/3)</f>
        <v>160.66666666666666</v>
      </c>
      <c r="C16" s="9">
        <f>C13+(C14/3)</f>
        <v>200</v>
      </c>
      <c r="D16" s="9">
        <f>D13+(D14/3)</f>
        <v>203.66666666666666</v>
      </c>
      <c r="E16" s="63">
        <f>E13+(E14/3)</f>
        <v>237.66666666666666</v>
      </c>
      <c r="F16" s="63">
        <f>F13+(F14/3)</f>
        <v>233.33333333333334</v>
      </c>
      <c r="G16" s="94">
        <f>AVERAGE(B16:F16)</f>
        <v>207.06666666666666</v>
      </c>
    </row>
    <row r="17" spans="1:8" x14ac:dyDescent="0.2">
      <c r="A17" s="112"/>
      <c r="B17" s="7"/>
      <c r="C17" s="7"/>
      <c r="D17" s="7"/>
      <c r="E17" s="7"/>
      <c r="F17" s="7"/>
      <c r="G17" s="92"/>
    </row>
    <row r="18" spans="1:8" x14ac:dyDescent="0.2">
      <c r="A18" s="112"/>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61</v>
      </c>
      <c r="B25" s="96"/>
      <c r="C25" s="96"/>
      <c r="D25" s="96"/>
      <c r="E25" s="113"/>
      <c r="F25" s="96"/>
      <c r="G25" s="114"/>
    </row>
    <row r="26" spans="1:8" x14ac:dyDescent="0.2">
      <c r="A26" s="5"/>
      <c r="B26" s="7"/>
      <c r="C26" s="7"/>
      <c r="D26" s="7"/>
      <c r="E26" s="7"/>
      <c r="F26" s="7"/>
      <c r="G26" s="7"/>
      <c r="H26" s="5"/>
    </row>
    <row r="27" spans="1:8" x14ac:dyDescent="0.2">
      <c r="A27"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3">
        <v>25</v>
      </c>
      <c r="C32" s="3">
        <v>33</v>
      </c>
      <c r="D32" s="3">
        <v>29</v>
      </c>
      <c r="E32" s="3">
        <v>41</v>
      </c>
      <c r="F32" s="3">
        <v>56</v>
      </c>
      <c r="G32" s="94">
        <f>AVERAGE(B32:F32)</f>
        <v>36.799999999999997</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7.2</v>
      </c>
      <c r="C42" s="9">
        <f>C15/C32</f>
        <v>6.6060606060606064</v>
      </c>
      <c r="D42" s="9">
        <f>D15/D32</f>
        <v>7.6896551724137927</v>
      </c>
      <c r="E42" s="9">
        <f>E15/E32</f>
        <v>6.3170731707317076</v>
      </c>
      <c r="F42" s="9">
        <f>F15/F32</f>
        <v>4.4642857142857144</v>
      </c>
      <c r="G42" s="94">
        <f>AVERAGE(B42:F42)</f>
        <v>6.4554149326983632</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c r="C46" s="96"/>
      <c r="D46" s="96"/>
      <c r="E46" s="96"/>
      <c r="F46" s="96"/>
      <c r="G46" s="97"/>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1830</v>
      </c>
      <c r="C54" s="10">
        <v>2217</v>
      </c>
      <c r="D54" s="10">
        <v>2358</v>
      </c>
      <c r="E54" s="10">
        <v>2518</v>
      </c>
      <c r="F54" s="10">
        <v>2694</v>
      </c>
      <c r="G54" s="103">
        <f>AVERAGE(B54:F54)</f>
        <v>2323.4</v>
      </c>
    </row>
    <row r="55" spans="1:7" x14ac:dyDescent="0.2">
      <c r="A55" s="87" t="s">
        <v>12</v>
      </c>
      <c r="B55" s="10"/>
      <c r="C55" s="10"/>
      <c r="D55" s="10"/>
      <c r="E55" s="10"/>
      <c r="F55" s="10"/>
      <c r="G55" s="103"/>
    </row>
    <row r="56" spans="1:7" ht="13.5" thickBot="1" x14ac:dyDescent="0.25">
      <c r="A56" s="98" t="s">
        <v>5</v>
      </c>
      <c r="B56" s="106">
        <f>SUM(B54:B55)</f>
        <v>1830</v>
      </c>
      <c r="C56" s="106">
        <f>SUM(C54:C55)</f>
        <v>2217</v>
      </c>
      <c r="D56" s="106">
        <f>SUM(D54:D55)</f>
        <v>2358</v>
      </c>
      <c r="E56" s="106">
        <f>SUM(E54:E55)</f>
        <v>2518</v>
      </c>
      <c r="F56" s="106">
        <f>SUM(F54:F55)</f>
        <v>2694</v>
      </c>
      <c r="G56" s="105">
        <f>AVERAGE(B56:F56)</f>
        <v>2323.4</v>
      </c>
    </row>
    <row r="57" spans="1:7" x14ac:dyDescent="0.2">
      <c r="A57" s="5" t="s">
        <v>46</v>
      </c>
      <c r="B57" t="s">
        <v>47</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15.8</v>
      </c>
      <c r="C62" s="3">
        <v>19.100000000000001</v>
      </c>
      <c r="D62" s="3">
        <v>20.2</v>
      </c>
      <c r="E62" s="86">
        <v>22.3</v>
      </c>
      <c r="F62" s="86">
        <v>22.5</v>
      </c>
      <c r="G62" s="94">
        <f>AVERAGE(B62:F62)</f>
        <v>19.98</v>
      </c>
    </row>
    <row r="63" spans="1:7" ht="13.5" thickBot="1" x14ac:dyDescent="0.25">
      <c r="A63" s="98" t="s">
        <v>12</v>
      </c>
      <c r="B63" s="104"/>
      <c r="C63" s="104"/>
      <c r="D63" s="104"/>
      <c r="E63" s="104"/>
      <c r="F63" s="104"/>
      <c r="G63" s="97"/>
    </row>
    <row r="64" spans="1:7" x14ac:dyDescent="0.2">
      <c r="A64" s="14"/>
    </row>
    <row r="65" spans="1:7" x14ac:dyDescent="0.2">
      <c r="A65" s="14" t="s">
        <v>55</v>
      </c>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4</v>
      </c>
      <c r="C70" s="3">
        <v>5</v>
      </c>
      <c r="D70" s="3">
        <v>4</v>
      </c>
      <c r="E70" s="3">
        <v>4</v>
      </c>
      <c r="F70" s="3">
        <v>4</v>
      </c>
      <c r="G70" s="94">
        <f>AVERAGE(B70:F70)</f>
        <v>4.2</v>
      </c>
    </row>
    <row r="71" spans="1:7" x14ac:dyDescent="0.2">
      <c r="A71" s="87" t="s">
        <v>4</v>
      </c>
      <c r="B71" s="3">
        <v>1</v>
      </c>
      <c r="C71" s="3">
        <v>2</v>
      </c>
      <c r="D71" s="3">
        <v>2</v>
      </c>
      <c r="E71" s="3">
        <v>1</v>
      </c>
      <c r="F71" s="3">
        <v>2</v>
      </c>
      <c r="G71" s="94">
        <f>AVERAGE(B71:F71)</f>
        <v>1.6</v>
      </c>
    </row>
    <row r="72" spans="1:7" x14ac:dyDescent="0.2">
      <c r="A72" s="87" t="s">
        <v>5</v>
      </c>
      <c r="B72" s="3">
        <f>SUM(B70:B71)</f>
        <v>5</v>
      </c>
      <c r="C72" s="3">
        <f>SUM(C70:C71)</f>
        <v>7</v>
      </c>
      <c r="D72" s="3">
        <f>SUM(D70:D71)</f>
        <v>6</v>
      </c>
      <c r="E72" s="3">
        <f>SUM(E70:E71)</f>
        <v>5</v>
      </c>
      <c r="F72" s="3">
        <f>SUM(F70:F71)</f>
        <v>6</v>
      </c>
      <c r="G72" s="94">
        <f>AVERAGE(B72:F72)</f>
        <v>5.8</v>
      </c>
    </row>
    <row r="73" spans="1:7" ht="13.5" thickBot="1" x14ac:dyDescent="0.25">
      <c r="A73" s="95" t="s">
        <v>62</v>
      </c>
      <c r="B73" s="96">
        <f>B70+(B71/3)</f>
        <v>4.333333333333333</v>
      </c>
      <c r="C73" s="96">
        <f>C70+(C71/3)</f>
        <v>5.666666666666667</v>
      </c>
      <c r="D73" s="96">
        <f>D70+(D71/3)</f>
        <v>4.666666666666667</v>
      </c>
      <c r="E73" s="96">
        <f>E70+(E71/3)</f>
        <v>4.333333333333333</v>
      </c>
      <c r="F73" s="96">
        <f>F70+(F71/3)</f>
        <v>4.666666666666667</v>
      </c>
      <c r="G73" s="97">
        <f>AVERAGE(B73:F73)</f>
        <v>4.7333333333333334</v>
      </c>
    </row>
    <row r="74" spans="1:7" x14ac:dyDescent="0.2">
      <c r="A74" s="5"/>
    </row>
    <row r="75" spans="1:7" x14ac:dyDescent="0.2">
      <c r="A75" s="5"/>
    </row>
    <row r="76" spans="1:7" x14ac:dyDescent="0.2">
      <c r="A76"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37.07692307692308</v>
      </c>
      <c r="C80" s="96">
        <f>(C16+C25)/C73</f>
        <v>35.294117647058819</v>
      </c>
      <c r="D80" s="96">
        <f>(D16+D25)/D73</f>
        <v>43.642857142857139</v>
      </c>
      <c r="E80" s="96">
        <f>(E16+E25)/E73</f>
        <v>54.846153846153847</v>
      </c>
      <c r="F80" s="96">
        <f>(F16+F25)/F73</f>
        <v>50</v>
      </c>
      <c r="G80" s="97">
        <f>AVERAGE(B80:F80)</f>
        <v>44.172010342598576</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422.30769230769232</v>
      </c>
      <c r="C85" s="96">
        <f>C56/C73</f>
        <v>391.23529411764702</v>
      </c>
      <c r="D85" s="96">
        <f>D56/D73</f>
        <v>505.28571428571428</v>
      </c>
      <c r="E85" s="96">
        <f>E56/E73</f>
        <v>581.07692307692309</v>
      </c>
      <c r="F85" s="96">
        <f>F56/F73</f>
        <v>577.28571428571422</v>
      </c>
      <c r="G85" s="97">
        <f>AVERAGE(B85:F85)</f>
        <v>495.43826761473821</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18">
        <v>356173</v>
      </c>
      <c r="C90" s="118">
        <v>387894</v>
      </c>
      <c r="D90" s="118">
        <v>392516.73</v>
      </c>
      <c r="E90" s="100">
        <v>399797.9</v>
      </c>
      <c r="F90" s="104"/>
      <c r="G90" s="101">
        <f>AVERAGE(B90:E90)</f>
        <v>384095.40749999997</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194.63005464480875</v>
      </c>
      <c r="C95" s="102">
        <f>C90/C56</f>
        <v>174.96346414073071</v>
      </c>
      <c r="D95" s="102">
        <f>D90/D56</f>
        <v>166.46171755725189</v>
      </c>
      <c r="E95" s="102">
        <f>E90/E56</f>
        <v>158.77597299444005</v>
      </c>
      <c r="F95" s="102">
        <f>F90/F56</f>
        <v>0</v>
      </c>
      <c r="G95" s="101">
        <f>AVERAGE(B95:F95)</f>
        <v>138.96624186744629</v>
      </c>
    </row>
    <row r="100" spans="1:4" x14ac:dyDescent="0.2">
      <c r="A100" s="19"/>
      <c r="B100" s="19"/>
      <c r="C100" s="19"/>
      <c r="D100" s="19"/>
    </row>
  </sheetData>
  <mergeCells count="4">
    <mergeCell ref="A1:G1"/>
    <mergeCell ref="A2:G2"/>
    <mergeCell ref="A4:G4"/>
    <mergeCell ref="B6:D6"/>
  </mergeCells>
  <phoneticPr fontId="6"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44" t="s">
        <v>69</v>
      </c>
      <c r="C6" s="145"/>
      <c r="D6" s="142"/>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41"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3"/>
      <c r="C13" s="3">
        <v>26</v>
      </c>
      <c r="D13" s="62">
        <v>57</v>
      </c>
      <c r="E13" s="3">
        <v>84</v>
      </c>
      <c r="F13" s="3">
        <v>92</v>
      </c>
      <c r="G13" s="110">
        <f>AVERAGE(B13:F13)</f>
        <v>64.75</v>
      </c>
    </row>
    <row r="14" spans="1:8" x14ac:dyDescent="0.2">
      <c r="A14" s="87" t="s">
        <v>4</v>
      </c>
      <c r="B14" s="3"/>
      <c r="C14" s="3">
        <v>17</v>
      </c>
      <c r="D14" s="62">
        <v>50</v>
      </c>
      <c r="E14" s="3">
        <v>52</v>
      </c>
      <c r="F14" s="3">
        <v>59</v>
      </c>
      <c r="G14" s="110">
        <f>AVERAGE(B14:F14)</f>
        <v>44.5</v>
      </c>
    </row>
    <row r="15" spans="1:8" x14ac:dyDescent="0.2">
      <c r="A15" s="87" t="s">
        <v>5</v>
      </c>
      <c r="B15" s="3"/>
      <c r="C15" s="3"/>
      <c r="D15" s="3">
        <f>SUM(D13:D14)</f>
        <v>107</v>
      </c>
      <c r="E15" s="62">
        <f>SUM(E13:E14)</f>
        <v>136</v>
      </c>
      <c r="F15" s="62">
        <f>SUM(F13:F14)</f>
        <v>151</v>
      </c>
      <c r="G15" s="94">
        <f>AVERAGE(B15:F15)</f>
        <v>131.33333333333334</v>
      </c>
    </row>
    <row r="16" spans="1:8" x14ac:dyDescent="0.2">
      <c r="A16" s="111" t="s">
        <v>61</v>
      </c>
      <c r="B16" s="9"/>
      <c r="C16" s="9"/>
      <c r="D16" s="9">
        <f>D13+(D14/3)</f>
        <v>73.666666666666671</v>
      </c>
      <c r="E16" s="63">
        <f>E13+(E14/3)</f>
        <v>101.33333333333333</v>
      </c>
      <c r="F16" s="63">
        <f>F13+(F14/3)</f>
        <v>111.66666666666667</v>
      </c>
      <c r="G16" s="94">
        <f>AVERAGE(B16:F16)</f>
        <v>95.555555555555557</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c r="C22" s="3"/>
      <c r="D22" s="62"/>
      <c r="E22" s="3">
        <v>8</v>
      </c>
      <c r="F22" s="3">
        <v>10</v>
      </c>
      <c r="G22" s="110">
        <f>AVERAGE(B22:F22)</f>
        <v>9</v>
      </c>
    </row>
    <row r="23" spans="1:8" x14ac:dyDescent="0.2">
      <c r="A23" s="87" t="s">
        <v>4</v>
      </c>
      <c r="B23" s="3"/>
      <c r="C23" s="3"/>
      <c r="D23" s="62"/>
      <c r="E23" s="3">
        <v>16</v>
      </c>
      <c r="F23" s="3">
        <v>31</v>
      </c>
      <c r="G23" s="110">
        <f>AVERAGE(B23:F23)</f>
        <v>23.5</v>
      </c>
    </row>
    <row r="24" spans="1:8" x14ac:dyDescent="0.2">
      <c r="A24" s="87" t="s">
        <v>5</v>
      </c>
      <c r="B24" s="3"/>
      <c r="C24" s="3"/>
      <c r="D24" s="3"/>
      <c r="E24" s="3">
        <f>E23+E22</f>
        <v>24</v>
      </c>
      <c r="F24" s="3">
        <f>F23+F22</f>
        <v>41</v>
      </c>
      <c r="G24" s="110">
        <f>AVERAGE(B24:F24)</f>
        <v>32.5</v>
      </c>
    </row>
    <row r="25" spans="1:8" ht="13.5" thickBot="1" x14ac:dyDescent="0.25">
      <c r="A25" s="95" t="s">
        <v>61</v>
      </c>
      <c r="B25" s="96"/>
      <c r="C25" s="96"/>
      <c r="D25" s="96"/>
      <c r="E25" s="96">
        <f>E22+(E23/3)</f>
        <v>13.333333333333332</v>
      </c>
      <c r="F25" s="96">
        <f>F22+(F23/3)</f>
        <v>20.333333333333336</v>
      </c>
      <c r="G25" s="114">
        <f>AVERAGE(B25:F25)</f>
        <v>16.833333333333336</v>
      </c>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8"/>
      <c r="C32" s="8">
        <v>3</v>
      </c>
      <c r="D32" s="8">
        <v>25</v>
      </c>
      <c r="E32" s="3">
        <v>30</v>
      </c>
      <c r="F32" s="3">
        <v>44</v>
      </c>
      <c r="G32" s="94">
        <f>AVERAGE(B32:F32)</f>
        <v>25.5</v>
      </c>
    </row>
    <row r="33" spans="1:8" x14ac:dyDescent="0.2">
      <c r="A33" s="91"/>
      <c r="B33" s="5"/>
      <c r="C33" s="5"/>
      <c r="D33" s="5"/>
      <c r="E33" s="7"/>
      <c r="F33" s="7"/>
      <c r="G33" s="92"/>
    </row>
    <row r="34" spans="1:8" x14ac:dyDescent="0.2">
      <c r="A34" s="91"/>
      <c r="B34" s="5"/>
      <c r="C34" s="5"/>
      <c r="D34" s="5"/>
      <c r="E34" s="7"/>
      <c r="F34" s="7"/>
      <c r="G34" s="92"/>
    </row>
    <row r="35" spans="1:8" x14ac:dyDescent="0.2">
      <c r="A35" s="93" t="s">
        <v>6</v>
      </c>
      <c r="B35" s="139" t="s">
        <v>66</v>
      </c>
      <c r="C35" s="139" t="s">
        <v>68</v>
      </c>
      <c r="D35" s="139" t="s">
        <v>70</v>
      </c>
      <c r="E35" s="139" t="s">
        <v>76</v>
      </c>
      <c r="F35" s="139" t="s">
        <v>77</v>
      </c>
      <c r="G35" s="140" t="s">
        <v>1</v>
      </c>
    </row>
    <row r="36" spans="1:8" ht="26.25" thickBot="1" x14ac:dyDescent="0.25">
      <c r="A36" s="108" t="s">
        <v>7</v>
      </c>
      <c r="B36" s="119"/>
      <c r="C36" s="119"/>
      <c r="D36" s="119"/>
      <c r="E36" s="104"/>
      <c r="F36" s="104">
        <v>2</v>
      </c>
      <c r="G36" s="97">
        <f>AVERAGE(B36:F36)</f>
        <v>2</v>
      </c>
    </row>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c r="C42" s="9"/>
      <c r="D42" s="9">
        <f>D15/D32</f>
        <v>4.28</v>
      </c>
      <c r="E42" s="9">
        <f>E15/E32</f>
        <v>4.5333333333333332</v>
      </c>
      <c r="F42" s="9">
        <f>F15/F32</f>
        <v>3.4318181818181817</v>
      </c>
      <c r="G42" s="94">
        <f>AVERAGE(B42:F42)</f>
        <v>4.0817171717171714</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c r="C46" s="96"/>
      <c r="D46" s="96"/>
      <c r="E46" s="96"/>
      <c r="F46" s="96"/>
      <c r="G46" s="97"/>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c r="C54" s="10">
        <v>208</v>
      </c>
      <c r="D54" s="10">
        <v>237</v>
      </c>
      <c r="E54" s="10">
        <v>356</v>
      </c>
      <c r="F54" s="10">
        <v>419</v>
      </c>
      <c r="G54" s="103">
        <f>AVERAGE(B54:F54)</f>
        <v>305</v>
      </c>
    </row>
    <row r="55" spans="1:7" x14ac:dyDescent="0.2">
      <c r="A55" s="87" t="s">
        <v>12</v>
      </c>
      <c r="B55" s="10"/>
      <c r="C55" s="10"/>
      <c r="D55" s="10"/>
      <c r="E55" s="10">
        <v>204</v>
      </c>
      <c r="F55" s="10">
        <v>378</v>
      </c>
      <c r="G55" s="103">
        <f>AVERAGE(B55:F55)</f>
        <v>291</v>
      </c>
    </row>
    <row r="56" spans="1:7" ht="13.5" thickBot="1" x14ac:dyDescent="0.25">
      <c r="A56" s="98" t="s">
        <v>5</v>
      </c>
      <c r="B56" s="106"/>
      <c r="C56" s="106"/>
      <c r="D56" s="106">
        <f>SUM(D54:D55)</f>
        <v>237</v>
      </c>
      <c r="E56" s="106">
        <f>SUM(E54:E55)</f>
        <v>560</v>
      </c>
      <c r="F56" s="106">
        <f>SUM(F54:F55)</f>
        <v>797</v>
      </c>
      <c r="G56" s="105">
        <f>AVERAGE(B56:F56)</f>
        <v>531.33333333333337</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c r="C62" s="3">
        <v>21.8</v>
      </c>
      <c r="D62" s="3">
        <v>16.5</v>
      </c>
      <c r="E62" s="86">
        <v>20.399999999999999</v>
      </c>
      <c r="F62" s="86">
        <v>18.7</v>
      </c>
      <c r="G62" s="94">
        <f>AVERAGE(B62:F62)</f>
        <v>19.349999999999998</v>
      </c>
    </row>
    <row r="63" spans="1:7" ht="13.5" thickBot="1" x14ac:dyDescent="0.25">
      <c r="A63" s="98" t="s">
        <v>12</v>
      </c>
      <c r="B63" s="104"/>
      <c r="C63" s="104"/>
      <c r="D63" s="104"/>
      <c r="E63" s="104">
        <v>17</v>
      </c>
      <c r="F63" s="104">
        <v>17.399999999999999</v>
      </c>
      <c r="G63" s="97">
        <f>AVERAGE(B63:F63)</f>
        <v>17.2</v>
      </c>
    </row>
    <row r="64" spans="1:7" x14ac:dyDescent="0.2">
      <c r="A64" s="14"/>
    </row>
    <row r="65" spans="1:8" x14ac:dyDescent="0.2">
      <c r="A65" s="14"/>
    </row>
    <row r="66" spans="1:8" ht="13.5" thickBot="1" x14ac:dyDescent="0.25"/>
    <row r="67" spans="1:8" x14ac:dyDescent="0.2">
      <c r="A67" s="88" t="s">
        <v>60</v>
      </c>
      <c r="B67" s="89"/>
      <c r="C67" s="89"/>
      <c r="D67" s="89"/>
      <c r="E67" s="89"/>
      <c r="F67" s="89"/>
      <c r="G67" s="90"/>
    </row>
    <row r="68" spans="1:8" x14ac:dyDescent="0.2">
      <c r="A68" s="91"/>
      <c r="B68" s="7"/>
      <c r="C68" s="7"/>
      <c r="D68" s="7"/>
      <c r="E68" s="7"/>
      <c r="F68" s="7"/>
      <c r="G68" s="92"/>
    </row>
    <row r="69" spans="1:8" x14ac:dyDescent="0.2">
      <c r="A69" s="93" t="s">
        <v>13</v>
      </c>
      <c r="B69" s="139" t="s">
        <v>66</v>
      </c>
      <c r="C69" s="139" t="s">
        <v>68</v>
      </c>
      <c r="D69" s="139" t="s">
        <v>70</v>
      </c>
      <c r="E69" s="139" t="s">
        <v>76</v>
      </c>
      <c r="F69" s="139" t="s">
        <v>77</v>
      </c>
      <c r="G69" s="140" t="s">
        <v>1</v>
      </c>
    </row>
    <row r="70" spans="1:8" ht="15" x14ac:dyDescent="0.25">
      <c r="A70" s="87" t="s">
        <v>3</v>
      </c>
      <c r="B70" s="3"/>
      <c r="C70" s="60">
        <v>0</v>
      </c>
      <c r="D70" s="60">
        <v>0</v>
      </c>
      <c r="E70" s="3">
        <v>0</v>
      </c>
      <c r="F70" s="3">
        <v>0</v>
      </c>
      <c r="G70" s="94">
        <f>AVERAGE(B70:F70)</f>
        <v>0</v>
      </c>
    </row>
    <row r="71" spans="1:8" ht="15" x14ac:dyDescent="0.25">
      <c r="A71" s="87" t="s">
        <v>4</v>
      </c>
      <c r="B71" s="3"/>
      <c r="C71" s="60">
        <v>0</v>
      </c>
      <c r="D71" s="60">
        <v>0</v>
      </c>
      <c r="E71" s="3">
        <v>0</v>
      </c>
      <c r="F71" s="3">
        <v>0</v>
      </c>
      <c r="G71" s="94">
        <f>AVERAGE(B71:F71)</f>
        <v>0</v>
      </c>
    </row>
    <row r="72" spans="1:8" x14ac:dyDescent="0.2">
      <c r="A72" s="87" t="s">
        <v>5</v>
      </c>
      <c r="B72" s="3"/>
      <c r="C72" s="3"/>
      <c r="D72" s="3">
        <v>0</v>
      </c>
      <c r="E72" s="3">
        <v>0</v>
      </c>
      <c r="F72" s="3">
        <v>0</v>
      </c>
      <c r="G72" s="94">
        <f>AVERAGE(B72:F72)</f>
        <v>0</v>
      </c>
    </row>
    <row r="73" spans="1:8" ht="13.5" thickBot="1" x14ac:dyDescent="0.25">
      <c r="A73" s="95" t="s">
        <v>62</v>
      </c>
      <c r="B73" s="96">
        <f>B70+(B71/3)</f>
        <v>0</v>
      </c>
      <c r="C73" s="96">
        <f>C70+(C71/3)</f>
        <v>0</v>
      </c>
      <c r="D73" s="96">
        <f>D70+(D71/3)</f>
        <v>0</v>
      </c>
      <c r="E73" s="96">
        <v>0</v>
      </c>
      <c r="F73" s="96">
        <v>0</v>
      </c>
      <c r="G73" s="97">
        <f>AVERAGE(B73:F73)</f>
        <v>0</v>
      </c>
    </row>
    <row r="74" spans="1:8" x14ac:dyDescent="0.2">
      <c r="A74" s="5"/>
    </row>
    <row r="75" spans="1:8" ht="15" x14ac:dyDescent="0.25">
      <c r="A75" s="5"/>
      <c r="C75" s="59"/>
      <c r="D75" s="59"/>
      <c r="E75" s="59"/>
      <c r="F75" s="59"/>
      <c r="G75" s="59"/>
      <c r="H75" s="55"/>
    </row>
    <row r="77" spans="1:8" ht="13.5" thickBot="1" x14ac:dyDescent="0.25"/>
    <row r="78" spans="1:8" x14ac:dyDescent="0.2">
      <c r="A78" s="88" t="s">
        <v>24</v>
      </c>
      <c r="B78" s="89"/>
      <c r="C78" s="89"/>
      <c r="D78" s="89"/>
      <c r="E78" s="89"/>
      <c r="F78" s="89"/>
      <c r="G78" s="90"/>
    </row>
    <row r="79" spans="1:8" x14ac:dyDescent="0.2">
      <c r="A79" s="91"/>
      <c r="B79" s="139" t="s">
        <v>66</v>
      </c>
      <c r="C79" s="139" t="s">
        <v>68</v>
      </c>
      <c r="D79" s="139" t="s">
        <v>70</v>
      </c>
      <c r="E79" s="139" t="s">
        <v>76</v>
      </c>
      <c r="F79" s="139" t="s">
        <v>77</v>
      </c>
      <c r="G79" s="140" t="s">
        <v>1</v>
      </c>
    </row>
    <row r="80" spans="1:8" ht="13.5" thickBot="1" x14ac:dyDescent="0.25">
      <c r="A80" s="98" t="s">
        <v>8</v>
      </c>
      <c r="B80" s="99"/>
      <c r="C80" s="96"/>
      <c r="D80" s="96"/>
      <c r="E80" s="96"/>
      <c r="F80" s="96"/>
      <c r="G80" s="97"/>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c r="C85" s="96"/>
      <c r="D85" s="96"/>
      <c r="E85" s="96"/>
      <c r="F85" s="96"/>
      <c r="G85" s="97"/>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c r="C90" s="100">
        <v>239</v>
      </c>
      <c r="D90" s="100">
        <v>468.03</v>
      </c>
      <c r="E90" s="100">
        <v>0</v>
      </c>
      <c r="F90" s="104"/>
      <c r="G90" s="101">
        <f>AVERAGE(B90:E90)</f>
        <v>235.67666666666665</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t="e">
        <f>B90/B56</f>
        <v>#DIV/0!</v>
      </c>
      <c r="C95" s="102" t="e">
        <f>C90/C56</f>
        <v>#DIV/0!</v>
      </c>
      <c r="D95" s="102">
        <f>D90/D56</f>
        <v>1.9748101265822784</v>
      </c>
      <c r="E95" s="102">
        <f>E90/E56</f>
        <v>0</v>
      </c>
      <c r="F95" s="102">
        <f>F90/F56</f>
        <v>0</v>
      </c>
      <c r="G95" s="101" t="e">
        <f>AVERAGE(B95:F95)</f>
        <v>#DIV/0!</v>
      </c>
    </row>
  </sheetData>
  <mergeCells count="3">
    <mergeCell ref="A1:G1"/>
    <mergeCell ref="A2:G2"/>
    <mergeCell ref="A4:G4"/>
  </mergeCells>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43" t="s">
        <v>64</v>
      </c>
      <c r="C6" s="142"/>
      <c r="D6" s="142"/>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8">
        <v>651</v>
      </c>
      <c r="C13" s="8">
        <v>609</v>
      </c>
      <c r="D13" s="64">
        <v>559</v>
      </c>
      <c r="E13" s="3">
        <v>574</v>
      </c>
      <c r="F13" s="8">
        <f>619-30</f>
        <v>589</v>
      </c>
      <c r="G13" s="110">
        <f>AVERAGE(B13:F13)</f>
        <v>596.4</v>
      </c>
    </row>
    <row r="14" spans="1:8" x14ac:dyDescent="0.2">
      <c r="A14" s="87" t="s">
        <v>4</v>
      </c>
      <c r="B14" s="8">
        <v>83</v>
      </c>
      <c r="C14" s="8">
        <v>73</v>
      </c>
      <c r="D14" s="64">
        <v>75</v>
      </c>
      <c r="E14" s="3">
        <v>75</v>
      </c>
      <c r="F14" s="8">
        <f>114-50</f>
        <v>64</v>
      </c>
      <c r="G14" s="110">
        <f>AVERAGE(B14:F14)</f>
        <v>74</v>
      </c>
    </row>
    <row r="15" spans="1:8" x14ac:dyDescent="0.2">
      <c r="A15" s="87" t="s">
        <v>5</v>
      </c>
      <c r="B15" s="3">
        <f>SUM(B13:B14)</f>
        <v>734</v>
      </c>
      <c r="C15" s="3">
        <f>SUM(C13:C14)</f>
        <v>682</v>
      </c>
      <c r="D15" s="3">
        <f>SUM(D13:D14)</f>
        <v>634</v>
      </c>
      <c r="E15" s="62">
        <f>SUM(E13:E14)</f>
        <v>649</v>
      </c>
      <c r="F15" s="62">
        <f>SUM(F13:F14)</f>
        <v>653</v>
      </c>
      <c r="G15" s="94">
        <f>AVERAGE(B15:F15)</f>
        <v>670.4</v>
      </c>
    </row>
    <row r="16" spans="1:8" x14ac:dyDescent="0.2">
      <c r="A16" s="111" t="s">
        <v>61</v>
      </c>
      <c r="B16" s="9">
        <f>B13+(B14/3)</f>
        <v>678.66666666666663</v>
      </c>
      <c r="C16" s="9">
        <f>C13+(C14/3)</f>
        <v>633.33333333333337</v>
      </c>
      <c r="D16" s="9">
        <f>D13+(D14/3)</f>
        <v>584</v>
      </c>
      <c r="E16" s="63">
        <f>E13+(E14/3)</f>
        <v>599</v>
      </c>
      <c r="F16" s="63">
        <f>F13+(F14/3)</f>
        <v>610.33333333333337</v>
      </c>
      <c r="G16" s="94">
        <f>AVERAGE(B16:F16)</f>
        <v>621.06666666666672</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61</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21">
        <v>79</v>
      </c>
      <c r="C32" s="21">
        <v>93</v>
      </c>
      <c r="D32" s="21">
        <v>85</v>
      </c>
      <c r="E32" s="3">
        <v>85</v>
      </c>
      <c r="F32" s="3">
        <v>90</v>
      </c>
      <c r="G32" s="94">
        <f>AVERAGE(B32:F32)</f>
        <v>86.4</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9.2911392405063289</v>
      </c>
      <c r="C42" s="9">
        <f>C15/C32</f>
        <v>7.333333333333333</v>
      </c>
      <c r="D42" s="9">
        <f>D15/D32</f>
        <v>7.4588235294117649</v>
      </c>
      <c r="E42" s="9">
        <f>E15/E32</f>
        <v>7.6352941176470592</v>
      </c>
      <c r="F42" s="9">
        <f>F15/F32</f>
        <v>7.2555555555555555</v>
      </c>
      <c r="G42" s="94">
        <f>AVERAGE(B42:F42)</f>
        <v>7.7948291552908087</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c r="C46" s="96"/>
      <c r="D46" s="96"/>
      <c r="E46" s="96"/>
      <c r="F46" s="96"/>
      <c r="G46" s="97"/>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6739</v>
      </c>
      <c r="C54" s="10">
        <v>6355</v>
      </c>
      <c r="D54" s="10">
        <v>6159</v>
      </c>
      <c r="E54" s="10">
        <v>6598</v>
      </c>
      <c r="F54" s="10">
        <v>6706</v>
      </c>
      <c r="G54" s="103">
        <f>AVERAGE(B54:F54)</f>
        <v>6511.4</v>
      </c>
    </row>
    <row r="55" spans="1:7" x14ac:dyDescent="0.2">
      <c r="A55" s="87" t="s">
        <v>12</v>
      </c>
      <c r="B55" s="10"/>
      <c r="C55" s="10"/>
      <c r="D55" s="10"/>
      <c r="E55" s="10"/>
      <c r="F55" s="10"/>
      <c r="G55" s="103"/>
    </row>
    <row r="56" spans="1:7" ht="13.5" thickBot="1" x14ac:dyDescent="0.25">
      <c r="A56" s="98" t="s">
        <v>5</v>
      </c>
      <c r="B56" s="106">
        <f>SUM(B54:B55)</f>
        <v>6739</v>
      </c>
      <c r="C56" s="106">
        <f>SUM(C54:C55)</f>
        <v>6355</v>
      </c>
      <c r="D56" s="106">
        <f>SUM(D54:D55)</f>
        <v>6159</v>
      </c>
      <c r="E56" s="106">
        <f>SUM(E54:E55)</f>
        <v>6598</v>
      </c>
      <c r="F56" s="106">
        <f>SUM(F54:F55)</f>
        <v>6706</v>
      </c>
      <c r="G56" s="105">
        <f>AVERAGE(B56:F56)</f>
        <v>6511.4</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36.6</v>
      </c>
      <c r="C62" s="3">
        <v>40.299999999999997</v>
      </c>
      <c r="D62" s="3">
        <v>33.4</v>
      </c>
      <c r="E62" s="86">
        <v>33.9</v>
      </c>
      <c r="F62" s="86">
        <v>36</v>
      </c>
      <c r="G62" s="94">
        <f>AVERAGE(B62:F62)</f>
        <v>36.040000000000006</v>
      </c>
    </row>
    <row r="63" spans="1:7" ht="13.5" thickBot="1" x14ac:dyDescent="0.25">
      <c r="A63" s="98" t="s">
        <v>12</v>
      </c>
      <c r="B63" s="104"/>
      <c r="C63" s="104"/>
      <c r="D63" s="104"/>
      <c r="E63" s="104"/>
      <c r="F63" s="104"/>
      <c r="G63" s="97"/>
    </row>
    <row r="64" spans="1:7" x14ac:dyDescent="0.2">
      <c r="A64" s="14"/>
    </row>
    <row r="65" spans="1:7" x14ac:dyDescent="0.2">
      <c r="A65" s="14" t="s">
        <v>51</v>
      </c>
    </row>
    <row r="66" spans="1:7" ht="13.5" thickBot="1" x14ac:dyDescent="0.25">
      <c r="A66" s="14"/>
    </row>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16</v>
      </c>
      <c r="C70" s="3">
        <v>14</v>
      </c>
      <c r="D70" s="3">
        <v>14</v>
      </c>
      <c r="E70" s="3">
        <v>15</v>
      </c>
      <c r="F70" s="3">
        <v>15</v>
      </c>
      <c r="G70" s="94">
        <f>AVERAGE(B70:F70)</f>
        <v>14.8</v>
      </c>
    </row>
    <row r="71" spans="1:7" x14ac:dyDescent="0.2">
      <c r="A71" s="87" t="s">
        <v>4</v>
      </c>
      <c r="B71" s="3">
        <v>19</v>
      </c>
      <c r="C71" s="7">
        <v>23</v>
      </c>
      <c r="D71" s="3">
        <v>23</v>
      </c>
      <c r="E71" s="3">
        <v>25</v>
      </c>
      <c r="F71" s="3">
        <v>26</v>
      </c>
      <c r="G71" s="94">
        <f>AVERAGE(B71:F71)</f>
        <v>23.2</v>
      </c>
    </row>
    <row r="72" spans="1:7" x14ac:dyDescent="0.2">
      <c r="A72" s="87" t="s">
        <v>5</v>
      </c>
      <c r="B72" s="3">
        <f>SUM(B70:B71)</f>
        <v>35</v>
      </c>
      <c r="C72" s="3">
        <f>SUM(C70:C71)</f>
        <v>37</v>
      </c>
      <c r="D72" s="3">
        <f>SUM(D70:D71)</f>
        <v>37</v>
      </c>
      <c r="E72" s="3">
        <f>SUM(E70:E71)</f>
        <v>40</v>
      </c>
      <c r="F72" s="3">
        <f>SUM(F70:F71)</f>
        <v>41</v>
      </c>
      <c r="G72" s="94">
        <f>AVERAGE(B72:F72)</f>
        <v>38</v>
      </c>
    </row>
    <row r="73" spans="1:7" ht="13.5" thickBot="1" x14ac:dyDescent="0.25">
      <c r="A73" s="95" t="s">
        <v>62</v>
      </c>
      <c r="B73" s="96">
        <f>B70+(B71/3)</f>
        <v>22.333333333333332</v>
      </c>
      <c r="C73" s="96">
        <f>C70+(C71/3)</f>
        <v>21.666666666666668</v>
      </c>
      <c r="D73" s="96">
        <f>D70+(D71/3)</f>
        <v>21.666666666666668</v>
      </c>
      <c r="E73" s="96">
        <f>E70+(E71/3)</f>
        <v>23.333333333333336</v>
      </c>
      <c r="F73" s="96">
        <f>F70+(F71/3)</f>
        <v>23.666666666666664</v>
      </c>
      <c r="G73" s="97">
        <f>AVERAGE(B73:F73)</f>
        <v>22.533333333333331</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30.388059701492537</v>
      </c>
      <c r="C80" s="96">
        <f>(C16+C25)/C73</f>
        <v>29.23076923076923</v>
      </c>
      <c r="D80" s="96">
        <f>(D16+D25)/D73</f>
        <v>26.953846153846154</v>
      </c>
      <c r="E80" s="96">
        <f>(E16+E25)/E73</f>
        <v>25.671428571428567</v>
      </c>
      <c r="F80" s="96">
        <f>(F16+F25)/F73</f>
        <v>25.7887323943662</v>
      </c>
      <c r="G80" s="97">
        <f>AVERAGE(B80:F80)</f>
        <v>27.606567210380536</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301.74626865671644</v>
      </c>
      <c r="C85" s="96">
        <f>C56/C73</f>
        <v>293.30769230769226</v>
      </c>
      <c r="D85" s="96">
        <f>D56/D73</f>
        <v>284.26153846153846</v>
      </c>
      <c r="E85" s="96">
        <f>E56/E73</f>
        <v>282.77142857142854</v>
      </c>
      <c r="F85" s="96">
        <f>F56/F73</f>
        <v>283.35211267605638</v>
      </c>
      <c r="G85" s="97">
        <f>AVERAGE(B85:F85)</f>
        <v>289.08780813468638</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18">
        <v>1741312</v>
      </c>
      <c r="C90" s="118">
        <v>1778303</v>
      </c>
      <c r="D90" s="118">
        <f>1977132.92+7548.02</f>
        <v>1984680.94</v>
      </c>
      <c r="E90" s="100">
        <f>2072817.26+141385.13</f>
        <v>2214202.39</v>
      </c>
      <c r="F90" s="104"/>
      <c r="G90" s="101">
        <f>AVERAGE(B90:E90)</f>
        <v>1929624.5825</v>
      </c>
    </row>
    <row r="91" spans="1:8" x14ac:dyDescent="0.2">
      <c r="A91" s="148" t="s">
        <v>80</v>
      </c>
      <c r="B91" s="7"/>
      <c r="C91" s="7"/>
      <c r="D91" s="5"/>
      <c r="E91" s="5"/>
      <c r="F91" s="5"/>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258.39323341742096</v>
      </c>
      <c r="C95" s="102">
        <f>C90/C56</f>
        <v>279.82738001573563</v>
      </c>
      <c r="D95" s="102">
        <f>D90/D56</f>
        <v>322.24077610001621</v>
      </c>
      <c r="E95" s="102">
        <f>E90/E56</f>
        <v>335.58690360715372</v>
      </c>
      <c r="F95" s="102">
        <f>F90/F56</f>
        <v>0</v>
      </c>
      <c r="G95" s="101">
        <f>AVERAGE(B95:F95)</f>
        <v>239.20965862806528</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43" t="s">
        <v>63</v>
      </c>
      <c r="C6" s="142"/>
      <c r="D6" s="142"/>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8">
        <v>88</v>
      </c>
      <c r="C13" s="8">
        <v>94</v>
      </c>
      <c r="D13" s="64">
        <v>78</v>
      </c>
      <c r="E13" s="3">
        <v>86</v>
      </c>
      <c r="F13" s="8">
        <f>44+30</f>
        <v>74</v>
      </c>
      <c r="G13" s="110">
        <f>AVERAGE(B13:F13)</f>
        <v>84</v>
      </c>
    </row>
    <row r="14" spans="1:8" x14ac:dyDescent="0.2">
      <c r="A14" s="87" t="s">
        <v>4</v>
      </c>
      <c r="B14" s="8">
        <v>214</v>
      </c>
      <c r="C14" s="8">
        <v>216</v>
      </c>
      <c r="D14" s="64">
        <v>215</v>
      </c>
      <c r="E14" s="3">
        <v>163</v>
      </c>
      <c r="F14" s="8">
        <f>132+50</f>
        <v>182</v>
      </c>
      <c r="G14" s="110">
        <f>AVERAGE(B14:F14)</f>
        <v>198</v>
      </c>
    </row>
    <row r="15" spans="1:8" x14ac:dyDescent="0.2">
      <c r="A15" s="87" t="s">
        <v>5</v>
      </c>
      <c r="B15" s="3">
        <f>SUM(B13:B14)</f>
        <v>302</v>
      </c>
      <c r="C15" s="3">
        <f>SUM(C13:C14)</f>
        <v>310</v>
      </c>
      <c r="D15" s="3">
        <f>SUM(D13:D14)</f>
        <v>293</v>
      </c>
      <c r="E15" s="62">
        <f>SUM(E13:E14)</f>
        <v>249</v>
      </c>
      <c r="F15" s="62">
        <f>SUM(F13:F14)</f>
        <v>256</v>
      </c>
      <c r="G15" s="94">
        <f>AVERAGE(B15:F15)</f>
        <v>282</v>
      </c>
    </row>
    <row r="16" spans="1:8" x14ac:dyDescent="0.2">
      <c r="A16" s="111" t="s">
        <v>61</v>
      </c>
      <c r="B16" s="9">
        <f>B13+(B14/3)</f>
        <v>159.33333333333331</v>
      </c>
      <c r="C16" s="9">
        <f>C13+(C14/3)</f>
        <v>166</v>
      </c>
      <c r="D16" s="9">
        <f>D13+(D14/3)</f>
        <v>149.66666666666669</v>
      </c>
      <c r="E16" s="63">
        <f>E13+(E14/3)</f>
        <v>140.33333333333334</v>
      </c>
      <c r="F16" s="63">
        <f>F13+(F14/3)</f>
        <v>134.66666666666666</v>
      </c>
      <c r="G16" s="94">
        <f>AVERAGE(B16:F16)</f>
        <v>150</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v>15</v>
      </c>
      <c r="C22" s="3">
        <v>22</v>
      </c>
      <c r="D22" s="62">
        <v>26</v>
      </c>
      <c r="E22" s="3">
        <v>27</v>
      </c>
      <c r="F22" s="3">
        <v>23</v>
      </c>
      <c r="G22" s="110">
        <f>AVERAGE(B22:F22)</f>
        <v>22.6</v>
      </c>
    </row>
    <row r="23" spans="1:8" x14ac:dyDescent="0.2">
      <c r="A23" s="87" t="s">
        <v>4</v>
      </c>
      <c r="B23" s="3">
        <v>59</v>
      </c>
      <c r="C23" s="3">
        <v>67</v>
      </c>
      <c r="D23" s="62">
        <v>48</v>
      </c>
      <c r="E23" s="3">
        <v>68</v>
      </c>
      <c r="F23" s="3">
        <v>81</v>
      </c>
      <c r="G23" s="110">
        <f>AVERAGE(B23:F23)</f>
        <v>64.599999999999994</v>
      </c>
    </row>
    <row r="24" spans="1:8" x14ac:dyDescent="0.2">
      <c r="A24" s="87" t="s">
        <v>5</v>
      </c>
      <c r="B24" s="3">
        <f>SUM(B22:B23)</f>
        <v>74</v>
      </c>
      <c r="C24" s="3">
        <f>SUM(C22:C23)</f>
        <v>89</v>
      </c>
      <c r="D24" s="3">
        <f>SUM(D22:D23)</f>
        <v>74</v>
      </c>
      <c r="E24" s="62">
        <f>SUM(E22:E23)</f>
        <v>95</v>
      </c>
      <c r="F24" s="3">
        <f>SUM(F22:F23)</f>
        <v>104</v>
      </c>
      <c r="G24" s="110">
        <f>AVERAGE(B24:F24)</f>
        <v>87.2</v>
      </c>
    </row>
    <row r="25" spans="1:8" ht="13.5" thickBot="1" x14ac:dyDescent="0.25">
      <c r="A25" s="95" t="s">
        <v>61</v>
      </c>
      <c r="B25" s="96">
        <f>B22+(B23/3)</f>
        <v>34.666666666666671</v>
      </c>
      <c r="C25" s="96">
        <f>C22+(C23/3)</f>
        <v>44.333333333333329</v>
      </c>
      <c r="D25" s="96">
        <f>D22+(D23/3)</f>
        <v>42</v>
      </c>
      <c r="E25" s="113">
        <f>E22+(E23/3)</f>
        <v>49.666666666666671</v>
      </c>
      <c r="F25" s="96">
        <f>F22+(F23/3)</f>
        <v>50</v>
      </c>
      <c r="G25" s="114">
        <f>AVERAGE(B25:F25)</f>
        <v>44.13333333333334</v>
      </c>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21">
        <v>82</v>
      </c>
      <c r="C32" s="21">
        <v>69</v>
      </c>
      <c r="D32" s="21">
        <f>79+2+15+1</f>
        <v>97</v>
      </c>
      <c r="E32" s="3">
        <v>74</v>
      </c>
      <c r="F32" s="3">
        <v>79</v>
      </c>
      <c r="G32" s="94">
        <f>AVERAGE(B32:F32)</f>
        <v>80.2</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v>8</v>
      </c>
      <c r="C36" s="104">
        <v>18</v>
      </c>
      <c r="D36" s="104">
        <v>15</v>
      </c>
      <c r="E36" s="104">
        <v>26</v>
      </c>
      <c r="F36" s="104">
        <v>23</v>
      </c>
      <c r="G36" s="97">
        <f>AVERAGE(B36:F36)</f>
        <v>18</v>
      </c>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3.6829268292682928</v>
      </c>
      <c r="C42" s="9">
        <f>C15/C32</f>
        <v>4.4927536231884062</v>
      </c>
      <c r="D42" s="9">
        <f>D15/D32</f>
        <v>3.0206185567010309</v>
      </c>
      <c r="E42" s="9">
        <f>E15/E32</f>
        <v>3.3648648648648649</v>
      </c>
      <c r="F42" s="9">
        <f>F15/F32</f>
        <v>3.240506329113924</v>
      </c>
      <c r="G42" s="94">
        <f>AVERAGE(B42:F42)</f>
        <v>3.5603340406273043</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f>B24/B36</f>
        <v>9.25</v>
      </c>
      <c r="C46" s="96">
        <f>C24/C36</f>
        <v>4.9444444444444446</v>
      </c>
      <c r="D46" s="96">
        <f>D24/D36</f>
        <v>4.9333333333333336</v>
      </c>
      <c r="E46" s="96">
        <f>E24/E36</f>
        <v>3.6538461538461537</v>
      </c>
      <c r="F46" s="96">
        <f>F24/F36</f>
        <v>4.5217391304347823</v>
      </c>
      <c r="G46" s="97">
        <f>AVERAGE(B46:F46)</f>
        <v>5.4606726124117433</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3491</v>
      </c>
      <c r="C54" s="10">
        <v>4294</v>
      </c>
      <c r="D54" s="10">
        <v>3966</v>
      </c>
      <c r="E54" s="10">
        <v>3630</v>
      </c>
      <c r="F54" s="10">
        <v>3738</v>
      </c>
      <c r="G54" s="103">
        <f>AVERAGE(B54:F54)</f>
        <v>3823.8</v>
      </c>
    </row>
    <row r="55" spans="1:7" x14ac:dyDescent="0.2">
      <c r="A55" s="87" t="s">
        <v>12</v>
      </c>
      <c r="B55" s="10">
        <v>783</v>
      </c>
      <c r="C55" s="10">
        <v>947</v>
      </c>
      <c r="D55" s="10">
        <v>1068</v>
      </c>
      <c r="E55" s="10">
        <v>1059</v>
      </c>
      <c r="F55" s="10">
        <v>1137</v>
      </c>
      <c r="G55" s="103">
        <f>AVERAGE(B55:F55)</f>
        <v>998.8</v>
      </c>
    </row>
    <row r="56" spans="1:7" ht="13.5" thickBot="1" x14ac:dyDescent="0.25">
      <c r="A56" s="98" t="s">
        <v>5</v>
      </c>
      <c r="B56" s="106">
        <f>SUM(B54:B55)</f>
        <v>4274</v>
      </c>
      <c r="C56" s="106">
        <f>SUM(C54:C55)</f>
        <v>5241</v>
      </c>
      <c r="D56" s="106">
        <f>SUM(D54:D55)</f>
        <v>5034</v>
      </c>
      <c r="E56" s="106">
        <f>SUM(E54:E55)</f>
        <v>4689</v>
      </c>
      <c r="F56" s="106">
        <f>SUM(F54:F55)</f>
        <v>4875</v>
      </c>
      <c r="G56" s="105">
        <f>AVERAGE(B56:F56)</f>
        <v>4822.6000000000004</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21.3</v>
      </c>
      <c r="C62" s="3">
        <v>24.7</v>
      </c>
      <c r="D62" s="3">
        <v>22</v>
      </c>
      <c r="E62" s="86">
        <v>21.5</v>
      </c>
      <c r="F62" s="86">
        <v>21.8</v>
      </c>
      <c r="G62" s="94">
        <f>AVERAGE(B62:F62)</f>
        <v>22.259999999999998</v>
      </c>
    </row>
    <row r="63" spans="1:7" ht="13.5" thickBot="1" x14ac:dyDescent="0.25">
      <c r="A63" s="98" t="s">
        <v>12</v>
      </c>
      <c r="B63" s="104">
        <v>14.1</v>
      </c>
      <c r="C63" s="104">
        <v>16.5</v>
      </c>
      <c r="D63" s="104">
        <v>14.2</v>
      </c>
      <c r="E63" s="104">
        <v>14.7</v>
      </c>
      <c r="F63" s="104">
        <v>14.2</v>
      </c>
      <c r="G63" s="97">
        <f>AVERAGE(B63:F63)</f>
        <v>14.74</v>
      </c>
    </row>
    <row r="64" spans="1:7" x14ac:dyDescent="0.2">
      <c r="A64" s="14"/>
    </row>
    <row r="65" spans="1:7" x14ac:dyDescent="0.2">
      <c r="A65" s="14"/>
    </row>
    <row r="66" spans="1:7" ht="13.5" thickBot="1" x14ac:dyDescent="0.25">
      <c r="A66" s="14"/>
    </row>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7</v>
      </c>
      <c r="C70" s="3">
        <v>7</v>
      </c>
      <c r="D70" s="3">
        <v>10</v>
      </c>
      <c r="E70" s="3">
        <v>11</v>
      </c>
      <c r="F70" s="3">
        <v>10</v>
      </c>
      <c r="G70" s="94">
        <f>AVERAGE(B70:F70)</f>
        <v>9</v>
      </c>
    </row>
    <row r="71" spans="1:7" x14ac:dyDescent="0.2">
      <c r="A71" s="87" t="s">
        <v>4</v>
      </c>
      <c r="B71" s="3">
        <v>1</v>
      </c>
      <c r="C71" s="3">
        <v>1</v>
      </c>
      <c r="D71" s="3">
        <v>0</v>
      </c>
      <c r="E71" s="3">
        <v>1</v>
      </c>
      <c r="F71" s="3">
        <v>1</v>
      </c>
      <c r="G71" s="94">
        <f>AVERAGE(B71:F71)</f>
        <v>0.8</v>
      </c>
    </row>
    <row r="72" spans="1:7" x14ac:dyDescent="0.2">
      <c r="A72" s="87" t="s">
        <v>5</v>
      </c>
      <c r="B72" s="3">
        <f>SUM(B70:B71)</f>
        <v>8</v>
      </c>
      <c r="C72" s="3">
        <f>SUM(C70:C71)</f>
        <v>8</v>
      </c>
      <c r="D72" s="3">
        <f>SUM(D70:D71)</f>
        <v>10</v>
      </c>
      <c r="E72" s="3">
        <f>SUM(E70:E71)</f>
        <v>12</v>
      </c>
      <c r="F72" s="3">
        <f>SUM(F70:F71)</f>
        <v>11</v>
      </c>
      <c r="G72" s="94">
        <f>AVERAGE(B72:F72)</f>
        <v>9.8000000000000007</v>
      </c>
    </row>
    <row r="73" spans="1:7" ht="13.5" thickBot="1" x14ac:dyDescent="0.25">
      <c r="A73" s="95" t="s">
        <v>62</v>
      </c>
      <c r="B73" s="96">
        <f>B70+B71/3</f>
        <v>7.333333333333333</v>
      </c>
      <c r="C73" s="96">
        <f>C70+C71/3</f>
        <v>7.333333333333333</v>
      </c>
      <c r="D73" s="96">
        <f>D70+D71/3</f>
        <v>10</v>
      </c>
      <c r="E73" s="96">
        <f>E70+E71/3</f>
        <v>11.333333333333334</v>
      </c>
      <c r="F73" s="96">
        <f>F70+F71/3</f>
        <v>10.333333333333334</v>
      </c>
      <c r="G73" s="97">
        <f>AVERAGE(B73:F73)</f>
        <v>9.2666666666666675</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26.454545454545457</v>
      </c>
      <c r="C80" s="96">
        <f>(C16+C25)/C73</f>
        <v>28.68181818181818</v>
      </c>
      <c r="D80" s="96">
        <f>(D16+D25)/D73</f>
        <v>19.166666666666668</v>
      </c>
      <c r="E80" s="96">
        <f>(E16+E25)/E73</f>
        <v>16.764705882352942</v>
      </c>
      <c r="F80" s="96">
        <f>(F16+F25)/F73</f>
        <v>17.87096774193548</v>
      </c>
      <c r="G80" s="97">
        <f>AVERAGE(B80:F80)</f>
        <v>21.787740785463747</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115">
        <f>B56/B73</f>
        <v>582.81818181818187</v>
      </c>
      <c r="C85" s="116">
        <f>C56/C73</f>
        <v>714.68181818181824</v>
      </c>
      <c r="D85" s="116">
        <f>D56/D73</f>
        <v>503.4</v>
      </c>
      <c r="E85" s="116">
        <f>E56/E73</f>
        <v>413.73529411764702</v>
      </c>
      <c r="F85" s="116">
        <f>F56/F73</f>
        <v>471.77419354838707</v>
      </c>
      <c r="G85" s="117">
        <f>AVERAGE(B85:F85)</f>
        <v>537.2818975332068</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18">
        <v>456946</v>
      </c>
      <c r="C90" s="118">
        <v>580287</v>
      </c>
      <c r="D90" s="118">
        <f>282957.81+264366.72</f>
        <v>547324.53</v>
      </c>
      <c r="E90" s="100">
        <f>284420.42+191984.32</f>
        <v>476404.74</v>
      </c>
      <c r="F90" s="104"/>
      <c r="G90" s="101">
        <f>AVERAGE(B90:E90)</f>
        <v>515240.5675</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106.91296209639683</v>
      </c>
      <c r="C95" s="102">
        <f>C90/C56</f>
        <v>110.72066399542072</v>
      </c>
      <c r="D95" s="102">
        <f>D90/D56</f>
        <v>108.72557210965435</v>
      </c>
      <c r="E95" s="102">
        <f>E90/E56</f>
        <v>101.6004990403071</v>
      </c>
      <c r="F95" s="102">
        <f>F90/F56</f>
        <v>0</v>
      </c>
      <c r="G95" s="101">
        <f>AVERAGE(B95:F95)</f>
        <v>85.591939448355802</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62" t="s">
        <v>79</v>
      </c>
      <c r="C6" s="164"/>
      <c r="D6" s="164"/>
      <c r="E6" s="165"/>
      <c r="F6" s="1"/>
      <c r="G6" s="1"/>
      <c r="H6" s="49"/>
    </row>
    <row r="7" spans="1:8" x14ac:dyDescent="0.2">
      <c r="A7" s="165" t="s">
        <v>73</v>
      </c>
      <c r="B7" s="165"/>
      <c r="C7" s="165"/>
      <c r="D7" s="165"/>
      <c r="E7" s="165"/>
      <c r="F7" s="165"/>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71</v>
      </c>
      <c r="E11" s="139" t="s">
        <v>76</v>
      </c>
      <c r="F11" s="139" t="s">
        <v>77</v>
      </c>
      <c r="G11" s="140" t="s">
        <v>1</v>
      </c>
    </row>
    <row r="12" spans="1:8" x14ac:dyDescent="0.2">
      <c r="A12" s="87" t="s">
        <v>2</v>
      </c>
      <c r="B12" s="3"/>
      <c r="C12" s="3"/>
      <c r="D12" s="3"/>
      <c r="E12" s="62"/>
      <c r="F12" s="3"/>
      <c r="G12" s="109"/>
    </row>
    <row r="13" spans="1:8" x14ac:dyDescent="0.2">
      <c r="A13" s="87" t="s">
        <v>3</v>
      </c>
      <c r="B13" s="3">
        <v>134</v>
      </c>
      <c r="C13" s="3">
        <v>136</v>
      </c>
      <c r="D13" s="62">
        <v>193</v>
      </c>
      <c r="E13" s="8">
        <v>207</v>
      </c>
      <c r="F13" s="3">
        <v>199</v>
      </c>
      <c r="G13" s="110">
        <f>AVERAGE(B13:F13)</f>
        <v>173.8</v>
      </c>
    </row>
    <row r="14" spans="1:8" x14ac:dyDescent="0.2">
      <c r="A14" s="87" t="s">
        <v>4</v>
      </c>
      <c r="B14" s="3">
        <v>27</v>
      </c>
      <c r="C14" s="3">
        <v>34</v>
      </c>
      <c r="D14" s="62">
        <v>62</v>
      </c>
      <c r="E14" s="8">
        <v>54</v>
      </c>
      <c r="F14" s="3">
        <v>53</v>
      </c>
      <c r="G14" s="110">
        <f>AVERAGE(B14:F14)</f>
        <v>46</v>
      </c>
    </row>
    <row r="15" spans="1:8" x14ac:dyDescent="0.2">
      <c r="A15" s="87" t="s">
        <v>5</v>
      </c>
      <c r="B15" s="3">
        <f>SUM(B13:B14)</f>
        <v>161</v>
      </c>
      <c r="C15" s="3">
        <f>SUM(C13:C14)</f>
        <v>170</v>
      </c>
      <c r="D15" s="3">
        <f>SUM(D13:D14)</f>
        <v>255</v>
      </c>
      <c r="E15" s="62">
        <f>SUM(E13:E14)</f>
        <v>261</v>
      </c>
      <c r="F15" s="62">
        <f>SUM(F13:F14)</f>
        <v>252</v>
      </c>
      <c r="G15" s="94">
        <f>AVERAGE(B15:F15)</f>
        <v>219.8</v>
      </c>
    </row>
    <row r="16" spans="1:8" x14ac:dyDescent="0.2">
      <c r="A16" s="111" t="s">
        <v>61</v>
      </c>
      <c r="B16" s="9">
        <f>B13+(B14/3)</f>
        <v>143</v>
      </c>
      <c r="C16" s="9">
        <f>C13+(C14/3)</f>
        <v>147.33333333333334</v>
      </c>
      <c r="D16" s="9">
        <f>D13+(D14/3)</f>
        <v>213.66666666666666</v>
      </c>
      <c r="E16" s="63">
        <f>E13+(E14/3)</f>
        <v>225</v>
      </c>
      <c r="F16" s="63">
        <f>F13+(F14/3)</f>
        <v>216.66666666666666</v>
      </c>
      <c r="G16" s="94">
        <f>AVERAGE(B16:F16)</f>
        <v>189.13333333333333</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v>11</v>
      </c>
      <c r="C22" s="3">
        <v>4</v>
      </c>
      <c r="D22" s="62">
        <v>5</v>
      </c>
      <c r="E22" s="3">
        <v>6</v>
      </c>
      <c r="F22" s="3">
        <v>7</v>
      </c>
      <c r="G22" s="110">
        <f>AVERAGE(B22:F22)</f>
        <v>6.6</v>
      </c>
    </row>
    <row r="23" spans="1:8" x14ac:dyDescent="0.2">
      <c r="A23" s="87" t="s">
        <v>4</v>
      </c>
      <c r="B23" s="3">
        <v>55</v>
      </c>
      <c r="C23" s="3">
        <v>37</v>
      </c>
      <c r="D23" s="62">
        <v>30</v>
      </c>
      <c r="E23" s="3">
        <v>34</v>
      </c>
      <c r="F23" s="3">
        <v>38</v>
      </c>
      <c r="G23" s="110">
        <f>AVERAGE(B23:F23)</f>
        <v>38.799999999999997</v>
      </c>
    </row>
    <row r="24" spans="1:8" x14ac:dyDescent="0.2">
      <c r="A24" s="87" t="s">
        <v>5</v>
      </c>
      <c r="B24" s="3">
        <f>SUM(B22:B23)</f>
        <v>66</v>
      </c>
      <c r="C24" s="3">
        <f>SUM(C22:C23)</f>
        <v>41</v>
      </c>
      <c r="D24" s="3">
        <f>SUM(D22:D23)</f>
        <v>35</v>
      </c>
      <c r="E24" s="62">
        <f>SUM(E22:E23)</f>
        <v>40</v>
      </c>
      <c r="F24" s="3">
        <f>SUM(F22:F23)</f>
        <v>45</v>
      </c>
      <c r="G24" s="110">
        <f>AVERAGE(B24:F24)</f>
        <v>45.4</v>
      </c>
    </row>
    <row r="25" spans="1:8" ht="13.5" thickBot="1" x14ac:dyDescent="0.25">
      <c r="A25" s="95" t="s">
        <v>61</v>
      </c>
      <c r="B25" s="96">
        <f>B22+(B23/3)</f>
        <v>29.333333333333332</v>
      </c>
      <c r="C25" s="96">
        <f>C22+(C23/3)</f>
        <v>16.333333333333336</v>
      </c>
      <c r="D25" s="96">
        <f>D22+(D23/3)</f>
        <v>15</v>
      </c>
      <c r="E25" s="113">
        <f>E22+(E23/3)</f>
        <v>17.333333333333336</v>
      </c>
      <c r="F25" s="96">
        <f>F22+(F23/3)</f>
        <v>19.666666666666664</v>
      </c>
      <c r="G25" s="114">
        <f>AVERAGE(B25:F25)</f>
        <v>19.533333333333331</v>
      </c>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8">
        <v>27</v>
      </c>
      <c r="C32" s="8">
        <v>20</v>
      </c>
      <c r="D32" s="8">
        <v>25</v>
      </c>
      <c r="E32" s="3">
        <v>35</v>
      </c>
      <c r="F32" s="3">
        <v>41</v>
      </c>
      <c r="G32" s="94">
        <f>AVERAGE(B32:F32)</f>
        <v>29.6</v>
      </c>
    </row>
    <row r="33" spans="1:8" x14ac:dyDescent="0.2">
      <c r="A33" s="91"/>
      <c r="B33" s="5"/>
      <c r="C33" s="5"/>
      <c r="D33" s="5"/>
      <c r="E33" s="5"/>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v>22</v>
      </c>
      <c r="C36" s="104">
        <v>14</v>
      </c>
      <c r="D36" s="104">
        <v>10</v>
      </c>
      <c r="E36" s="104">
        <v>17</v>
      </c>
      <c r="F36" s="104">
        <v>14</v>
      </c>
      <c r="G36" s="97">
        <f>AVERAGE(B36:F36)</f>
        <v>15.4</v>
      </c>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5.9629629629629628</v>
      </c>
      <c r="C42" s="9">
        <f>C15/C32</f>
        <v>8.5</v>
      </c>
      <c r="D42" s="9">
        <f>D15/D32</f>
        <v>10.199999999999999</v>
      </c>
      <c r="E42" s="9">
        <f>E15/E32</f>
        <v>7.4571428571428573</v>
      </c>
      <c r="F42" s="9">
        <f>F15/F32</f>
        <v>6.1463414634146343</v>
      </c>
      <c r="G42" s="94">
        <f>AVERAGE(B42:F42)</f>
        <v>7.6532894567040914</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f>B24/B36</f>
        <v>3</v>
      </c>
      <c r="C46" s="96">
        <f>C24/C36</f>
        <v>2.9285714285714284</v>
      </c>
      <c r="D46" s="96">
        <f>D24/D36</f>
        <v>3.5</v>
      </c>
      <c r="E46" s="96">
        <f>E24/E36</f>
        <v>2.3529411764705883</v>
      </c>
      <c r="F46" s="96">
        <f>F24/F36</f>
        <v>3.2142857142857144</v>
      </c>
      <c r="G46" s="97">
        <f>AVERAGE(B46:F46)</f>
        <v>2.9991596638655467</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4116</v>
      </c>
      <c r="C54" s="10">
        <v>5154</v>
      </c>
      <c r="D54" s="10">
        <v>6900</v>
      </c>
      <c r="E54" s="10">
        <f>459+6330</f>
        <v>6789</v>
      </c>
      <c r="F54" s="10">
        <v>6231</v>
      </c>
      <c r="G54" s="103">
        <f>AVERAGE(B54:F54)</f>
        <v>5838</v>
      </c>
    </row>
    <row r="55" spans="1:7" x14ac:dyDescent="0.2">
      <c r="A55" s="87" t="s">
        <v>12</v>
      </c>
      <c r="B55" s="10">
        <v>1164</v>
      </c>
      <c r="C55" s="10">
        <v>1089</v>
      </c>
      <c r="D55" s="10">
        <v>1017</v>
      </c>
      <c r="E55" s="10">
        <f>66+702</f>
        <v>768</v>
      </c>
      <c r="F55" s="10">
        <v>828</v>
      </c>
      <c r="G55" s="103">
        <f>AVERAGE(B55:F55)</f>
        <v>973.2</v>
      </c>
    </row>
    <row r="56" spans="1:7" ht="13.5" thickBot="1" x14ac:dyDescent="0.25">
      <c r="A56" s="98" t="s">
        <v>5</v>
      </c>
      <c r="B56" s="106">
        <f>SUM(B54:B55)</f>
        <v>5280</v>
      </c>
      <c r="C56" s="106">
        <f>SUM(C54:C55)</f>
        <v>6243</v>
      </c>
      <c r="D56" s="106">
        <f>SUM(D54:D55)</f>
        <v>7917</v>
      </c>
      <c r="E56" s="106">
        <f>SUM(E54:E55)</f>
        <v>7557</v>
      </c>
      <c r="F56" s="106">
        <f>SUM(F54:F55)</f>
        <v>7059</v>
      </c>
      <c r="G56" s="105">
        <f>AVERAGE(B56:F56)</f>
        <v>6811.2</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20.3</v>
      </c>
      <c r="C62" s="3">
        <v>21.5</v>
      </c>
      <c r="D62" s="3">
        <v>21.5</v>
      </c>
      <c r="E62" s="86">
        <v>19.899999999999999</v>
      </c>
      <c r="F62" s="86">
        <v>20</v>
      </c>
      <c r="G62" s="94">
        <f>AVERAGE(B62:F62)</f>
        <v>20.639999999999997</v>
      </c>
    </row>
    <row r="63" spans="1:7" ht="13.5" thickBot="1" x14ac:dyDescent="0.25">
      <c r="A63" s="98" t="s">
        <v>12</v>
      </c>
      <c r="B63" s="104">
        <v>31</v>
      </c>
      <c r="C63" s="104">
        <v>19.5</v>
      </c>
      <c r="D63" s="104">
        <v>21.8</v>
      </c>
      <c r="E63" s="104">
        <v>24.9</v>
      </c>
      <c r="F63" s="104">
        <v>21.6</v>
      </c>
      <c r="G63" s="97">
        <f>AVERAGE(B63:F63)</f>
        <v>23.759999999999998</v>
      </c>
    </row>
    <row r="64" spans="1:7" x14ac:dyDescent="0.2">
      <c r="A64"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10</v>
      </c>
      <c r="C70" s="3">
        <v>10</v>
      </c>
      <c r="D70" s="3">
        <v>10</v>
      </c>
      <c r="E70" s="3">
        <v>12</v>
      </c>
      <c r="F70" s="3">
        <v>14</v>
      </c>
      <c r="G70" s="94">
        <f>AVERAGE(B70:F70)</f>
        <v>11.2</v>
      </c>
    </row>
    <row r="71" spans="1:7" x14ac:dyDescent="0.2">
      <c r="A71" s="87" t="s">
        <v>4</v>
      </c>
      <c r="B71" s="3">
        <v>2</v>
      </c>
      <c r="C71" s="3">
        <v>4</v>
      </c>
      <c r="D71" s="3">
        <v>3</v>
      </c>
      <c r="E71" s="3">
        <v>3</v>
      </c>
      <c r="F71" s="3">
        <v>3</v>
      </c>
      <c r="G71" s="94">
        <f>AVERAGE(B71:F71)</f>
        <v>3</v>
      </c>
    </row>
    <row r="72" spans="1:7" x14ac:dyDescent="0.2">
      <c r="A72" s="87" t="s">
        <v>5</v>
      </c>
      <c r="B72" s="3">
        <f>SUM(B70:B71)</f>
        <v>12</v>
      </c>
      <c r="C72" s="3">
        <f>SUM(C70:C71)</f>
        <v>14</v>
      </c>
      <c r="D72" s="3">
        <f>SUM(D70:D71)</f>
        <v>13</v>
      </c>
      <c r="E72" s="3">
        <f>SUM(E70:E71)</f>
        <v>15</v>
      </c>
      <c r="F72" s="3">
        <f>SUM(F70:F71)</f>
        <v>17</v>
      </c>
      <c r="G72" s="94">
        <f>AVERAGE(B72:F72)</f>
        <v>14.2</v>
      </c>
    </row>
    <row r="73" spans="1:7" ht="13.5" thickBot="1" x14ac:dyDescent="0.25">
      <c r="A73" s="95" t="s">
        <v>62</v>
      </c>
      <c r="B73" s="96">
        <f>B70+(B71/3)</f>
        <v>10.666666666666666</v>
      </c>
      <c r="C73" s="96">
        <f>C70+(C71/3)</f>
        <v>11.333333333333334</v>
      </c>
      <c r="D73" s="96">
        <f>D70+(D71/3)</f>
        <v>11</v>
      </c>
      <c r="E73" s="96">
        <f>E70+(E71/3)</f>
        <v>13</v>
      </c>
      <c r="F73" s="96">
        <f>F70+(F71/3)</f>
        <v>15</v>
      </c>
      <c r="G73" s="97">
        <f>AVERAGE(B73:F73)</f>
        <v>12.2</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 + B25)/B73</f>
        <v>16.156250000000004</v>
      </c>
      <c r="C80" s="96">
        <f>(C16 + C25)/C73</f>
        <v>14.441176470588236</v>
      </c>
      <c r="D80" s="96">
        <f>(D16 + D25)/D73</f>
        <v>20.787878787878785</v>
      </c>
      <c r="E80" s="96">
        <f>(E16 + E25)/E73</f>
        <v>18.641025641025642</v>
      </c>
      <c r="F80" s="96">
        <f>(F16 + F25)/F73</f>
        <v>15.755555555555555</v>
      </c>
      <c r="G80" s="97">
        <f>AVERAGE(B80:F80)</f>
        <v>17.156377291009647</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495</v>
      </c>
      <c r="C85" s="96">
        <f>C56/C73</f>
        <v>550.85294117647061</v>
      </c>
      <c r="D85" s="96">
        <f>D56/D73</f>
        <v>719.72727272727275</v>
      </c>
      <c r="E85" s="96">
        <f>E56/E73</f>
        <v>581.30769230769226</v>
      </c>
      <c r="F85" s="96">
        <f>F56/F73</f>
        <v>470.6</v>
      </c>
      <c r="G85" s="97">
        <f>AVERAGE(B85:F85)</f>
        <v>563.49758124228708</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18">
        <v>724840</v>
      </c>
      <c r="C90" s="118">
        <v>751955</v>
      </c>
      <c r="D90" s="118">
        <v>1108031</v>
      </c>
      <c r="E90" s="100">
        <v>132311</v>
      </c>
      <c r="F90" s="104"/>
      <c r="G90" s="101">
        <f>AVERAGE(B90:E90)</f>
        <v>679284.25</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137.28030303030303</v>
      </c>
      <c r="C95" s="102">
        <f>C90/C56</f>
        <v>120.44770142559666</v>
      </c>
      <c r="D95" s="102">
        <f>D90/D56</f>
        <v>139.95591764557281</v>
      </c>
      <c r="E95" s="102">
        <f>E90/E56</f>
        <v>17.508402805346037</v>
      </c>
      <c r="F95" s="102">
        <f>F90/F56</f>
        <v>0</v>
      </c>
      <c r="G95" s="101">
        <f>AVERAGE(B95:F95)</f>
        <v>83.038464981363703</v>
      </c>
    </row>
  </sheetData>
  <mergeCells count="5">
    <mergeCell ref="A1:G1"/>
    <mergeCell ref="A2:G2"/>
    <mergeCell ref="A4:G4"/>
    <mergeCell ref="B6:E6"/>
    <mergeCell ref="A7:F7"/>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4"/>
  </sheetPr>
  <dimension ref="A1:M101"/>
  <sheetViews>
    <sheetView topLeftCell="A67" zoomScaleNormal="100" workbookViewId="0">
      <selection activeCell="E100" sqref="E100"/>
    </sheetView>
  </sheetViews>
  <sheetFormatPr defaultRowHeight="12.75" x14ac:dyDescent="0.2"/>
  <cols>
    <col min="1" max="1" width="15.140625" customWidth="1"/>
    <col min="2" max="4" width="12.28515625" style="38" bestFit="1" customWidth="1"/>
    <col min="5" max="5" width="15" style="38" bestFit="1" customWidth="1"/>
    <col min="6" max="6" width="12.28515625" style="38" bestFit="1" customWidth="1"/>
    <col min="7" max="7" width="14.140625" style="38" customWidth="1"/>
    <col min="8" max="8" width="11.7109375" customWidth="1"/>
  </cols>
  <sheetData>
    <row r="1" spans="1:13" x14ac:dyDescent="0.2">
      <c r="A1" s="159" t="s">
        <v>27</v>
      </c>
      <c r="B1" s="159"/>
      <c r="C1" s="159"/>
      <c r="D1" s="159"/>
      <c r="E1" s="159"/>
      <c r="F1" s="159"/>
      <c r="G1" s="159"/>
    </row>
    <row r="2" spans="1:13" x14ac:dyDescent="0.2">
      <c r="A2" s="159" t="s">
        <v>28</v>
      </c>
      <c r="B2" s="159"/>
      <c r="C2" s="159"/>
      <c r="D2" s="159"/>
      <c r="E2" s="159"/>
      <c r="F2" s="159"/>
      <c r="G2" s="159"/>
    </row>
    <row r="4" spans="1:13" x14ac:dyDescent="0.2">
      <c r="A4" s="167" t="s">
        <v>52</v>
      </c>
      <c r="B4" s="167"/>
      <c r="C4" s="167"/>
      <c r="D4" s="167"/>
      <c r="E4" s="167"/>
      <c r="F4" s="167"/>
      <c r="G4" s="167"/>
    </row>
    <row r="5" spans="1:13" x14ac:dyDescent="0.2">
      <c r="A5" s="1"/>
      <c r="B5" s="70"/>
      <c r="C5" s="70"/>
      <c r="D5" s="70"/>
      <c r="E5" s="70"/>
      <c r="F5" s="70"/>
      <c r="G5" s="70"/>
    </row>
    <row r="6" spans="1:13" x14ac:dyDescent="0.2">
      <c r="A6" s="1" t="s">
        <v>17</v>
      </c>
      <c r="B6" s="168" t="s">
        <v>57</v>
      </c>
      <c r="C6" s="169"/>
      <c r="D6" s="170"/>
      <c r="E6" s="71"/>
      <c r="F6" s="71"/>
      <c r="G6" s="71"/>
    </row>
    <row r="7" spans="1:13" x14ac:dyDescent="0.2">
      <c r="A7" s="1" t="s">
        <v>45</v>
      </c>
      <c r="B7" s="70"/>
      <c r="C7" s="70"/>
      <c r="D7" s="70"/>
      <c r="E7" s="70"/>
      <c r="F7" s="70"/>
      <c r="G7" s="70"/>
    </row>
    <row r="9" spans="1:13" x14ac:dyDescent="0.2">
      <c r="A9" s="33" t="s">
        <v>67</v>
      </c>
      <c r="B9" s="72"/>
      <c r="C9" s="72"/>
      <c r="D9" s="72"/>
      <c r="E9" s="72"/>
      <c r="F9" s="72"/>
      <c r="G9" s="72"/>
    </row>
    <row r="11" spans="1:13" x14ac:dyDescent="0.2">
      <c r="A11" s="23" t="s">
        <v>0</v>
      </c>
      <c r="B11" s="73" t="s">
        <v>66</v>
      </c>
      <c r="C11" s="73" t="s">
        <v>68</v>
      </c>
      <c r="D11" s="73" t="s">
        <v>70</v>
      </c>
      <c r="E11" s="73" t="s">
        <v>76</v>
      </c>
      <c r="F11" s="73" t="s">
        <v>77</v>
      </c>
      <c r="G11" s="74" t="s">
        <v>1</v>
      </c>
    </row>
    <row r="12" spans="1:13" x14ac:dyDescent="0.2">
      <c r="A12" s="58" t="s">
        <v>2</v>
      </c>
      <c r="B12" s="37"/>
      <c r="C12" s="37"/>
      <c r="D12" s="37"/>
      <c r="E12" s="37"/>
      <c r="F12" s="37"/>
      <c r="G12" s="37"/>
    </row>
    <row r="13" spans="1:13" x14ac:dyDescent="0.2">
      <c r="A13" s="3" t="s">
        <v>3</v>
      </c>
      <c r="B13" s="75">
        <f>SUM(ACBL:NEC!B13)</f>
        <v>5348</v>
      </c>
      <c r="C13" s="75">
        <f>SUM(ACBL:NEC!C13)</f>
        <v>5413</v>
      </c>
      <c r="D13" s="75">
        <f>SUM(ACBL:NEC!D13)</f>
        <v>5251</v>
      </c>
      <c r="E13" s="75">
        <f>SUM(ACBL:NEC!E13)</f>
        <v>5215</v>
      </c>
      <c r="F13" s="75">
        <f>SUM(ACBL:NEC!F13)</f>
        <v>5058</v>
      </c>
      <c r="G13" s="75">
        <f>AVERAGE(B13:$E13)</f>
        <v>5306.75</v>
      </c>
    </row>
    <row r="14" spans="1:13" x14ac:dyDescent="0.2">
      <c r="A14" s="3" t="s">
        <v>4</v>
      </c>
      <c r="B14" s="75">
        <f>SUM(ACBL:NEC!B14)</f>
        <v>1010</v>
      </c>
      <c r="C14" s="75">
        <f>SUM(ACBL:NEC!C14)</f>
        <v>1117</v>
      </c>
      <c r="D14" s="75">
        <f>SUM(ACBL:NEC!D14)</f>
        <v>1195</v>
      </c>
      <c r="E14" s="75">
        <f>SUM(ACBL:NEC!E14)</f>
        <v>1026</v>
      </c>
      <c r="F14" s="75">
        <f>SUM(ACBL:NEC!F14)</f>
        <v>1045</v>
      </c>
      <c r="G14" s="75">
        <f>AVERAGE(B14:$E14)</f>
        <v>1087</v>
      </c>
      <c r="I14" s="39"/>
      <c r="J14" s="39"/>
      <c r="K14" s="39"/>
      <c r="L14" s="39"/>
      <c r="M14" s="39"/>
    </row>
    <row r="15" spans="1:13" x14ac:dyDescent="0.2">
      <c r="A15" s="3" t="s">
        <v>5</v>
      </c>
      <c r="B15" s="75">
        <f>SUM(ACBL:NEC!B15)</f>
        <v>6358</v>
      </c>
      <c r="C15" s="75">
        <f>SUM(ACBL:NEC!C15)</f>
        <v>6409</v>
      </c>
      <c r="D15" s="75">
        <f>SUM(ACBL:NEC!D15)</f>
        <v>6446</v>
      </c>
      <c r="E15" s="75">
        <f>SUM(ACBL:NEC!E15)</f>
        <v>6241</v>
      </c>
      <c r="F15" s="75">
        <f>SUM(ACBL:NEC!F15)</f>
        <v>6103</v>
      </c>
      <c r="G15" s="75">
        <f>AVERAGE(B15:$E15)</f>
        <v>6363.5</v>
      </c>
    </row>
    <row r="16" spans="1:13" x14ac:dyDescent="0.2">
      <c r="A16" s="8" t="s">
        <v>61</v>
      </c>
      <c r="B16" s="75">
        <f>SUM(ACBL:NEC!B16)</f>
        <v>5684.666666666667</v>
      </c>
      <c r="C16" s="75">
        <f>SUM(ACBL:NEC!C16)</f>
        <v>5680.333333333333</v>
      </c>
      <c r="D16" s="75">
        <f>SUM(ACBL:NEC!D16)</f>
        <v>5649.3333333333339</v>
      </c>
      <c r="E16" s="75">
        <f>SUM(ACBL:NEC!E16)</f>
        <v>5556.9999999999991</v>
      </c>
      <c r="F16" s="75">
        <f>SUM(ACBL:NEC!F16)</f>
        <v>5406.333333333333</v>
      </c>
      <c r="G16" s="75">
        <f>AVERAGE(B16:$E16)</f>
        <v>5642.8333333333339</v>
      </c>
    </row>
    <row r="17" spans="1:8" x14ac:dyDescent="0.2">
      <c r="A17" s="5"/>
      <c r="B17" s="76"/>
      <c r="C17" s="76"/>
      <c r="D17" s="76"/>
      <c r="E17" s="76"/>
      <c r="F17" s="76"/>
      <c r="G17" s="76"/>
    </row>
    <row r="20" spans="1:8" s="19" customFormat="1" x14ac:dyDescent="0.2">
      <c r="A20" s="30" t="s">
        <v>6</v>
      </c>
      <c r="B20" s="73" t="s">
        <v>66</v>
      </c>
      <c r="C20" s="73" t="s">
        <v>68</v>
      </c>
      <c r="D20" s="73" t="s">
        <v>70</v>
      </c>
      <c r="E20" s="73" t="s">
        <v>76</v>
      </c>
      <c r="F20" s="73" t="s">
        <v>77</v>
      </c>
      <c r="G20" s="77" t="s">
        <v>1</v>
      </c>
      <c r="H20"/>
    </row>
    <row r="21" spans="1:8" x14ac:dyDescent="0.2">
      <c r="A21" s="58" t="s">
        <v>2</v>
      </c>
      <c r="B21" s="37"/>
      <c r="C21" s="37"/>
      <c r="D21" s="37"/>
      <c r="E21" s="37"/>
      <c r="F21" s="37"/>
      <c r="G21" s="37"/>
    </row>
    <row r="22" spans="1:8" x14ac:dyDescent="0.2">
      <c r="A22" s="3" t="s">
        <v>3</v>
      </c>
      <c r="B22" s="75">
        <f>SUM(ACBL:NEC!B22)</f>
        <v>456</v>
      </c>
      <c r="C22" s="75">
        <f>SUM(ACBL:NEC!C22)</f>
        <v>437</v>
      </c>
      <c r="D22" s="75">
        <f>SUM(ACBL:NEC!D22)</f>
        <v>432</v>
      </c>
      <c r="E22" s="75">
        <f>SUM(ACBL:NEC!E22)</f>
        <v>370</v>
      </c>
      <c r="F22" s="75">
        <f>SUM(ACBL:NEC!F22)</f>
        <v>323</v>
      </c>
      <c r="G22" s="75">
        <f>AVERAGE(B22:$E22)</f>
        <v>423.75</v>
      </c>
    </row>
    <row r="23" spans="1:8" x14ac:dyDescent="0.2">
      <c r="A23" s="3" t="s">
        <v>4</v>
      </c>
      <c r="B23" s="75">
        <f>SUM(ACBL:NEC!B23)</f>
        <v>905</v>
      </c>
      <c r="C23" s="75">
        <f>SUM(ACBL:NEC!C23)</f>
        <v>891</v>
      </c>
      <c r="D23" s="75">
        <f>SUM(ACBL:NEC!D23)</f>
        <v>873</v>
      </c>
      <c r="E23" s="75">
        <f>SUM(ACBL:NEC!E23)</f>
        <v>833</v>
      </c>
      <c r="F23" s="75">
        <f>SUM(ACBL:NEC!F23)</f>
        <v>814</v>
      </c>
      <c r="G23" s="75">
        <f>AVERAGE(B23:$E23)</f>
        <v>875.5</v>
      </c>
    </row>
    <row r="24" spans="1:8" x14ac:dyDescent="0.2">
      <c r="A24" s="3" t="s">
        <v>5</v>
      </c>
      <c r="B24" s="75">
        <f>SUM(ACBL:NEC!B24)</f>
        <v>1361</v>
      </c>
      <c r="C24" s="75">
        <f>SUM(ACBL:NEC!C24)</f>
        <v>1316</v>
      </c>
      <c r="D24" s="75">
        <f>SUM(ACBL:NEC!D24)</f>
        <v>1305</v>
      </c>
      <c r="E24" s="75">
        <f>SUM(ACBL:NEC!E24)</f>
        <v>1203</v>
      </c>
      <c r="F24" s="75">
        <f>SUM(ACBL:NEC!F24)</f>
        <v>1137</v>
      </c>
      <c r="G24" s="75">
        <f>AVERAGE(B24:$E24)</f>
        <v>1296.25</v>
      </c>
    </row>
    <row r="25" spans="1:8" x14ac:dyDescent="0.2">
      <c r="A25" s="8" t="s">
        <v>61</v>
      </c>
      <c r="B25" s="75">
        <f>SUM(ACBL:NEC!B25)</f>
        <v>757.66666666666663</v>
      </c>
      <c r="C25" s="75">
        <f>SUM(ACBL:NEC!C25)</f>
        <v>726.00000000000011</v>
      </c>
      <c r="D25" s="75">
        <f>SUM(ACBL:NEC!D25)</f>
        <v>723.00000000000011</v>
      </c>
      <c r="E25" s="75">
        <f>SUM(ACBL:NEC!E25)</f>
        <v>647.66666666666663</v>
      </c>
      <c r="F25" s="75">
        <f>SUM(ACBL:NEC!F25)</f>
        <v>594.33333333333348</v>
      </c>
      <c r="G25" s="75">
        <f>AVERAGE(B25:$E25)</f>
        <v>713.58333333333337</v>
      </c>
    </row>
    <row r="26" spans="1:8" x14ac:dyDescent="0.2">
      <c r="A26" s="5"/>
      <c r="B26" s="76"/>
      <c r="C26" s="76"/>
      <c r="D26" s="76"/>
      <c r="E26" s="76"/>
      <c r="F26" s="76"/>
      <c r="G26" s="76"/>
    </row>
    <row r="27" spans="1:8" x14ac:dyDescent="0.2">
      <c r="A27" s="5"/>
    </row>
    <row r="29" spans="1:8" x14ac:dyDescent="0.2">
      <c r="A29" s="33" t="s">
        <v>25</v>
      </c>
      <c r="B29" s="72"/>
      <c r="C29" s="72"/>
      <c r="D29" s="72"/>
      <c r="E29" s="72"/>
      <c r="F29" s="72"/>
      <c r="G29" s="72"/>
    </row>
    <row r="31" spans="1:8" s="19" customFormat="1" x14ac:dyDescent="0.2">
      <c r="A31" s="31" t="s">
        <v>0</v>
      </c>
      <c r="B31" s="73" t="s">
        <v>66</v>
      </c>
      <c r="C31" s="73" t="s">
        <v>68</v>
      </c>
      <c r="D31" s="73" t="s">
        <v>70</v>
      </c>
      <c r="E31" s="73" t="s">
        <v>76</v>
      </c>
      <c r="F31" s="73" t="s">
        <v>77</v>
      </c>
      <c r="G31" s="73" t="s">
        <v>1</v>
      </c>
      <c r="H31"/>
    </row>
    <row r="32" spans="1:8" ht="25.5" x14ac:dyDescent="0.2">
      <c r="A32" s="4" t="s">
        <v>7</v>
      </c>
      <c r="B32" s="75">
        <f>SUM(ACBL:NEC!B32)</f>
        <v>976</v>
      </c>
      <c r="C32" s="75">
        <f>SUM(ACBL:NEC!C32)</f>
        <v>971</v>
      </c>
      <c r="D32" s="75">
        <f>SUM(ACBL:NEC!D32)</f>
        <v>1028</v>
      </c>
      <c r="E32" s="75">
        <f>SUM(ACBL:NEC!E32)</f>
        <v>1027</v>
      </c>
      <c r="F32" s="75">
        <f>SUM(ACBL:NEC!F32)</f>
        <v>1137</v>
      </c>
      <c r="G32" s="78">
        <f>AVERAGE(B32:F32)</f>
        <v>1027.8</v>
      </c>
    </row>
    <row r="35" spans="1:8" s="32" customFormat="1" x14ac:dyDescent="0.2">
      <c r="A35" s="31" t="s">
        <v>6</v>
      </c>
      <c r="B35" s="73" t="s">
        <v>66</v>
      </c>
      <c r="C35" s="73" t="s">
        <v>68</v>
      </c>
      <c r="D35" s="73" t="s">
        <v>70</v>
      </c>
      <c r="E35" s="73" t="s">
        <v>76</v>
      </c>
      <c r="F35" s="73" t="s">
        <v>77</v>
      </c>
      <c r="G35" s="73" t="s">
        <v>1</v>
      </c>
      <c r="H35"/>
    </row>
    <row r="36" spans="1:8" ht="25.5" x14ac:dyDescent="0.2">
      <c r="A36" s="4" t="s">
        <v>7</v>
      </c>
      <c r="B36" s="78">
        <f>SUM(ACBL:NEC!B36)</f>
        <v>389</v>
      </c>
      <c r="C36" s="78">
        <f>SUM(ACBL:NEC!C36)</f>
        <v>363</v>
      </c>
      <c r="D36" s="78">
        <f>SUM(ACBL:NEC!D36)</f>
        <v>358</v>
      </c>
      <c r="E36" s="78">
        <f>SUM(ACBL:NEC!E36)</f>
        <v>334</v>
      </c>
      <c r="F36" s="78">
        <f>SUM(ACBL:NEC!F36)</f>
        <v>334</v>
      </c>
      <c r="G36" s="78">
        <f>AVERAGE(B36:F36)</f>
        <v>355.6</v>
      </c>
    </row>
    <row r="39" spans="1:8" x14ac:dyDescent="0.2">
      <c r="A39" s="33" t="s">
        <v>26</v>
      </c>
      <c r="B39" s="72"/>
      <c r="C39" s="72"/>
      <c r="D39" s="72"/>
      <c r="E39" s="72"/>
      <c r="F39" s="72"/>
      <c r="G39" s="72"/>
    </row>
    <row r="41" spans="1:8" s="19" customFormat="1" x14ac:dyDescent="0.2">
      <c r="A41" s="31" t="s">
        <v>0</v>
      </c>
      <c r="B41" s="73" t="s">
        <v>66</v>
      </c>
      <c r="C41" s="73" t="s">
        <v>68</v>
      </c>
      <c r="D41" s="73" t="s">
        <v>70</v>
      </c>
      <c r="E41" s="73" t="s">
        <v>76</v>
      </c>
      <c r="F41" s="73" t="s">
        <v>77</v>
      </c>
      <c r="G41" s="73" t="s">
        <v>1</v>
      </c>
      <c r="H41"/>
    </row>
    <row r="42" spans="1:8" x14ac:dyDescent="0.2">
      <c r="A42" s="3" t="s">
        <v>8</v>
      </c>
      <c r="B42" s="37">
        <f>B15/B32</f>
        <v>6.514344262295082</v>
      </c>
      <c r="C42" s="37">
        <f>C15/C32</f>
        <v>6.6004119464469619</v>
      </c>
      <c r="D42" s="37">
        <f>D15/D32</f>
        <v>6.2704280155642023</v>
      </c>
      <c r="E42" s="37">
        <f>E15/E32</f>
        <v>6.0769230769230766</v>
      </c>
      <c r="F42" s="37">
        <f>F15/F32</f>
        <v>5.3676341248900616</v>
      </c>
      <c r="G42" s="37">
        <f>AVERAGE(B42:$F42)</f>
        <v>6.1659482852238767</v>
      </c>
    </row>
    <row r="45" spans="1:8" s="19" customFormat="1" x14ac:dyDescent="0.2">
      <c r="A45" s="31" t="s">
        <v>6</v>
      </c>
      <c r="B45" s="73" t="s">
        <v>66</v>
      </c>
      <c r="C45" s="73" t="s">
        <v>68</v>
      </c>
      <c r="D45" s="73" t="s">
        <v>70</v>
      </c>
      <c r="E45" s="73" t="s">
        <v>76</v>
      </c>
      <c r="F45" s="73" t="s">
        <v>77</v>
      </c>
      <c r="G45" s="73" t="s">
        <v>1</v>
      </c>
      <c r="H45"/>
    </row>
    <row r="46" spans="1:8" x14ac:dyDescent="0.2">
      <c r="A46" s="3" t="s">
        <v>8</v>
      </c>
      <c r="B46" s="37">
        <f>B24/B36</f>
        <v>3.498714652956298</v>
      </c>
      <c r="C46" s="37">
        <f>C24/C36</f>
        <v>3.6253443526170801</v>
      </c>
      <c r="D46" s="37">
        <f>D24/D36</f>
        <v>3.6452513966480447</v>
      </c>
      <c r="E46" s="37">
        <f>E24/E36</f>
        <v>3.6017964071856285</v>
      </c>
      <c r="F46" s="37">
        <f>F24/F36</f>
        <v>3.4041916167664672</v>
      </c>
      <c r="G46" s="37">
        <f>AVERAGE(B46:$F46)</f>
        <v>3.5550596852347041</v>
      </c>
    </row>
    <row r="47" spans="1:8" x14ac:dyDescent="0.2">
      <c r="A47" s="7"/>
      <c r="B47" s="76"/>
      <c r="C47" s="76"/>
      <c r="D47" s="76"/>
      <c r="E47" s="76"/>
      <c r="F47" s="76"/>
      <c r="G47" s="76"/>
    </row>
    <row r="48" spans="1:8" x14ac:dyDescent="0.2">
      <c r="A48" s="7"/>
      <c r="B48" s="76"/>
      <c r="C48" s="76"/>
      <c r="D48" s="76"/>
      <c r="E48" s="76"/>
      <c r="F48" s="76"/>
      <c r="G48" s="76"/>
    </row>
    <row r="51" spans="1:8" x14ac:dyDescent="0.2">
      <c r="A51" s="22" t="s">
        <v>9</v>
      </c>
      <c r="B51" s="79"/>
      <c r="C51" s="79"/>
      <c r="D51" s="79"/>
      <c r="E51" s="79"/>
      <c r="F51" s="79"/>
      <c r="G51" s="79"/>
    </row>
    <row r="53" spans="1:8" s="19" customFormat="1" x14ac:dyDescent="0.2">
      <c r="A53" s="31" t="s">
        <v>10</v>
      </c>
      <c r="B53" s="73" t="s">
        <v>66</v>
      </c>
      <c r="C53" s="73" t="s">
        <v>68</v>
      </c>
      <c r="D53" s="73" t="s">
        <v>70</v>
      </c>
      <c r="E53" s="73" t="s">
        <v>76</v>
      </c>
      <c r="F53" s="73" t="s">
        <v>77</v>
      </c>
      <c r="G53" s="73" t="s">
        <v>1</v>
      </c>
      <c r="H53"/>
    </row>
    <row r="54" spans="1:8" x14ac:dyDescent="0.2">
      <c r="A54" s="3" t="s">
        <v>53</v>
      </c>
      <c r="B54" s="75">
        <f>SUM(ACBL:NEC!B54)</f>
        <v>160590</v>
      </c>
      <c r="C54" s="75">
        <f>SUM(ACBL:NEC!C54)</f>
        <v>162755</v>
      </c>
      <c r="D54" s="75">
        <f>SUM(ACBL:NEC!D54)</f>
        <v>160243</v>
      </c>
      <c r="E54" s="75">
        <f>SUM(ACBL:NEC!E54)</f>
        <v>158086</v>
      </c>
      <c r="F54" s="75">
        <f>SUM(ACBL:NEC!F54)</f>
        <v>153060</v>
      </c>
      <c r="G54" s="75">
        <f>AVERAGE(B54:$E54)</f>
        <v>160418.5</v>
      </c>
    </row>
    <row r="55" spans="1:8" x14ac:dyDescent="0.2">
      <c r="A55" s="3" t="s">
        <v>12</v>
      </c>
      <c r="B55" s="75">
        <f>SUM(ACBL:NEC!B55)</f>
        <v>15879</v>
      </c>
      <c r="C55" s="75">
        <f>SUM(ACBL:NEC!C55)</f>
        <v>16367</v>
      </c>
      <c r="D55" s="75">
        <f>SUM(ACBL:NEC!D55)</f>
        <v>14986</v>
      </c>
      <c r="E55" s="75">
        <f>SUM(ACBL:NEC!E55)</f>
        <v>14234</v>
      </c>
      <c r="F55" s="75">
        <f>SUM(ACBL:NEC!F55)</f>
        <v>14368</v>
      </c>
      <c r="G55" s="75">
        <f>AVERAGE(B55:$E55)</f>
        <v>15366.5</v>
      </c>
    </row>
    <row r="56" spans="1:8" x14ac:dyDescent="0.2">
      <c r="A56" s="3" t="s">
        <v>5</v>
      </c>
      <c r="B56" s="75">
        <f>SUM(ACBL:NEC!B56)</f>
        <v>176469</v>
      </c>
      <c r="C56" s="75">
        <f>SUM(ACBL:NEC!C56)</f>
        <v>178914</v>
      </c>
      <c r="D56" s="75">
        <f>SUM(ACBL:NEC!D56)</f>
        <v>175229</v>
      </c>
      <c r="E56" s="75">
        <f>SUM(ACBL:NEC!E56)</f>
        <v>172320</v>
      </c>
      <c r="F56" s="75">
        <f>SUM(ACBL:NEC!F56)</f>
        <v>167428</v>
      </c>
      <c r="G56" s="75">
        <f>AVERAGE(B56:$E56)</f>
        <v>175733</v>
      </c>
    </row>
    <row r="59" spans="1:8" x14ac:dyDescent="0.2">
      <c r="A59" s="22" t="s">
        <v>59</v>
      </c>
      <c r="B59" s="79"/>
      <c r="C59" s="79"/>
      <c r="D59" s="79"/>
      <c r="E59" s="79"/>
      <c r="F59" s="79"/>
      <c r="G59" s="79"/>
    </row>
    <row r="61" spans="1:8" s="19" customFormat="1" x14ac:dyDescent="0.2">
      <c r="A61" s="31" t="s">
        <v>11</v>
      </c>
      <c r="B61" s="73" t="s">
        <v>66</v>
      </c>
      <c r="C61" s="73" t="s">
        <v>68</v>
      </c>
      <c r="D61" s="73" t="s">
        <v>70</v>
      </c>
      <c r="E61" s="73" t="s">
        <v>76</v>
      </c>
      <c r="F61" s="73" t="s">
        <v>77</v>
      </c>
      <c r="G61" s="73" t="s">
        <v>1</v>
      </c>
      <c r="H61"/>
    </row>
    <row r="62" spans="1:8" x14ac:dyDescent="0.2">
      <c r="A62" s="3" t="s">
        <v>53</v>
      </c>
      <c r="B62" s="75">
        <v>24.79</v>
      </c>
      <c r="C62" s="75">
        <v>25.9</v>
      </c>
      <c r="D62" s="75">
        <v>23.7</v>
      </c>
      <c r="E62" s="75">
        <v>23.1</v>
      </c>
      <c r="F62" s="75">
        <v>22.3</v>
      </c>
      <c r="G62" s="75">
        <f>AVERAGE(B62:$E62)</f>
        <v>24.372500000000002</v>
      </c>
    </row>
    <row r="63" spans="1:8" x14ac:dyDescent="0.2">
      <c r="A63" s="3" t="s">
        <v>12</v>
      </c>
      <c r="B63" s="75">
        <v>19.61</v>
      </c>
      <c r="C63" s="75">
        <v>20.9</v>
      </c>
      <c r="D63" s="75">
        <v>18.899999999999999</v>
      </c>
      <c r="E63" s="75">
        <v>17.5</v>
      </c>
      <c r="F63" s="75">
        <v>17.100000000000001</v>
      </c>
      <c r="G63" s="75">
        <f>AVERAGE(B63:$E63)</f>
        <v>19.227499999999999</v>
      </c>
    </row>
    <row r="64" spans="1:8" x14ac:dyDescent="0.2">
      <c r="A64" s="14"/>
      <c r="B64" s="80"/>
      <c r="C64" s="80"/>
      <c r="D64" s="81"/>
      <c r="E64" s="81"/>
      <c r="F64" s="82"/>
    </row>
    <row r="67" spans="1:7" x14ac:dyDescent="0.2">
      <c r="A67" s="22" t="s">
        <v>60</v>
      </c>
      <c r="B67" s="79"/>
      <c r="C67" s="79"/>
      <c r="D67" s="79"/>
      <c r="E67" s="79"/>
      <c r="F67" s="79"/>
      <c r="G67" s="79"/>
    </row>
    <row r="69" spans="1:7" x14ac:dyDescent="0.2">
      <c r="A69" s="25" t="s">
        <v>13</v>
      </c>
      <c r="B69" s="73" t="s">
        <v>66</v>
      </c>
      <c r="C69" s="73" t="s">
        <v>68</v>
      </c>
      <c r="D69" s="73" t="s">
        <v>70</v>
      </c>
      <c r="E69" s="73" t="s">
        <v>76</v>
      </c>
      <c r="F69" s="73" t="s">
        <v>77</v>
      </c>
      <c r="G69" s="83" t="s">
        <v>1</v>
      </c>
    </row>
    <row r="70" spans="1:7" x14ac:dyDescent="0.2">
      <c r="A70" s="3" t="s">
        <v>3</v>
      </c>
      <c r="B70" s="75">
        <f>SUM(ACBL:NEC!B70)</f>
        <v>236</v>
      </c>
      <c r="C70" s="75">
        <f>SUM(ACBL:NEC!C70)</f>
        <v>241</v>
      </c>
      <c r="D70" s="75">
        <f>SUM(ACBL:NEC!D70)</f>
        <v>238</v>
      </c>
      <c r="E70" s="75">
        <f>SUM(ACBL:NEC!E70)</f>
        <v>241</v>
      </c>
      <c r="F70" s="75">
        <f>SUM(ACBL:NEC!F70)</f>
        <v>243</v>
      </c>
      <c r="G70" s="75">
        <f>AVERAGE(B70:F70)</f>
        <v>239.8</v>
      </c>
    </row>
    <row r="71" spans="1:7" x14ac:dyDescent="0.2">
      <c r="A71" s="3" t="s">
        <v>4</v>
      </c>
      <c r="B71" s="75">
        <f>SUM(ACBL:NEC!B71)</f>
        <v>117</v>
      </c>
      <c r="C71" s="75">
        <f>SUM(ACBL:NEC!C71)</f>
        <v>136</v>
      </c>
      <c r="D71" s="75">
        <f>SUM(ACBL:NEC!D71)</f>
        <v>119</v>
      </c>
      <c r="E71" s="75">
        <f>SUM(ACBL:NEC!E71)</f>
        <v>119</v>
      </c>
      <c r="F71" s="75">
        <f>SUM(ACBL:NEC!F71)</f>
        <v>125</v>
      </c>
      <c r="G71" s="75">
        <f>AVERAGE(B71:F71)</f>
        <v>123.2</v>
      </c>
    </row>
    <row r="72" spans="1:7" x14ac:dyDescent="0.2">
      <c r="A72" s="3" t="s">
        <v>5</v>
      </c>
      <c r="B72" s="75">
        <f>SUM(ACBL:NEC!B72)</f>
        <v>353</v>
      </c>
      <c r="C72" s="75">
        <f>SUM(ACBL:NEC!C72)</f>
        <v>377</v>
      </c>
      <c r="D72" s="75">
        <f>SUM(ACBL:NEC!D72)</f>
        <v>357</v>
      </c>
      <c r="E72" s="75">
        <f>SUM(ACBL:NEC!E72)</f>
        <v>360</v>
      </c>
      <c r="F72" s="75">
        <f>SUM(ACBL:NEC!F72)</f>
        <v>368</v>
      </c>
      <c r="G72" s="75">
        <f>AVERAGE(B72:F72)</f>
        <v>363</v>
      </c>
    </row>
    <row r="73" spans="1:7" x14ac:dyDescent="0.2">
      <c r="A73" s="8" t="s">
        <v>62</v>
      </c>
      <c r="B73" s="75">
        <f>SUM(ACBL:NEC!B73)</f>
        <v>275</v>
      </c>
      <c r="C73" s="75">
        <f>SUM(ACBL:NEC!C73)</f>
        <v>286.33333333333337</v>
      </c>
      <c r="D73" s="75">
        <f>SUM(ACBL:NEC!D73)</f>
        <v>277.66666666666663</v>
      </c>
      <c r="E73" s="75">
        <f>SUM(ACBL:NEC!E73)</f>
        <v>280.66666666666663</v>
      </c>
      <c r="F73" s="75">
        <f>SUM(ACBL:NEC!F73)</f>
        <v>284.66666666666663</v>
      </c>
      <c r="G73" s="75">
        <f>AVERAGE(B73:F73)</f>
        <v>280.86666666666662</v>
      </c>
    </row>
    <row r="74" spans="1:7" x14ac:dyDescent="0.2">
      <c r="A74" s="5"/>
    </row>
    <row r="75" spans="1:7" x14ac:dyDescent="0.2">
      <c r="A75" s="5"/>
    </row>
    <row r="78" spans="1:7" x14ac:dyDescent="0.2">
      <c r="A78" s="22" t="s">
        <v>24</v>
      </c>
      <c r="B78" s="79"/>
      <c r="C78" s="79"/>
      <c r="D78" s="79"/>
      <c r="E78" s="79"/>
      <c r="F78" s="79"/>
      <c r="G78" s="79"/>
    </row>
    <row r="79" spans="1:7" x14ac:dyDescent="0.2">
      <c r="B79" s="73" t="s">
        <v>66</v>
      </c>
      <c r="C79" s="73" t="s">
        <v>68</v>
      </c>
      <c r="D79" s="73" t="s">
        <v>70</v>
      </c>
      <c r="E79" s="73" t="s">
        <v>76</v>
      </c>
      <c r="F79" s="73" t="s">
        <v>77</v>
      </c>
      <c r="G79" s="83" t="s">
        <v>1</v>
      </c>
    </row>
    <row r="80" spans="1:7" x14ac:dyDescent="0.2">
      <c r="A80" t="s">
        <v>8</v>
      </c>
      <c r="B80" s="37">
        <f>(B16+B25)/B73</f>
        <v>23.426666666666669</v>
      </c>
      <c r="C80" s="37">
        <f>(C16+C25)/C73</f>
        <v>22.373690337601857</v>
      </c>
      <c r="D80" s="37">
        <f>(D16+D25)/D73</f>
        <v>22.949579831932777</v>
      </c>
      <c r="E80" s="37">
        <f>(E16+E25)/E73</f>
        <v>22.106888361045133</v>
      </c>
      <c r="F80" s="37">
        <f>(F16+F25)/F73</f>
        <v>21.079625292740047</v>
      </c>
      <c r="G80" s="37">
        <f>AVERAGE(B80:F80)</f>
        <v>22.387290097997298</v>
      </c>
    </row>
    <row r="81" spans="1:7" x14ac:dyDescent="0.2">
      <c r="B81" s="76"/>
      <c r="C81" s="76"/>
      <c r="D81" s="76"/>
      <c r="E81" s="76"/>
      <c r="F81" s="76"/>
      <c r="G81" s="76"/>
    </row>
    <row r="83" spans="1:7" x14ac:dyDescent="0.2">
      <c r="A83" s="22" t="s">
        <v>23</v>
      </c>
      <c r="B83" s="79"/>
      <c r="C83" s="79"/>
      <c r="D83" s="79"/>
      <c r="E83" s="79"/>
      <c r="F83" s="79"/>
      <c r="G83" s="79"/>
    </row>
    <row r="84" spans="1:7" x14ac:dyDescent="0.2">
      <c r="B84" s="73" t="s">
        <v>66</v>
      </c>
      <c r="C84" s="73" t="s">
        <v>68</v>
      </c>
      <c r="D84" s="73" t="s">
        <v>70</v>
      </c>
      <c r="E84" s="73" t="s">
        <v>76</v>
      </c>
      <c r="F84" s="73" t="s">
        <v>77</v>
      </c>
      <c r="G84" s="83" t="s">
        <v>1</v>
      </c>
    </row>
    <row r="85" spans="1:7" x14ac:dyDescent="0.2">
      <c r="A85" t="s">
        <v>14</v>
      </c>
      <c r="B85" s="37">
        <f>B56/B73</f>
        <v>641.70545454545459</v>
      </c>
      <c r="C85" s="37">
        <f>C56/C73</f>
        <v>624.84516880093122</v>
      </c>
      <c r="D85" s="37">
        <f>D56/D73</f>
        <v>631.07683073229305</v>
      </c>
      <c r="E85" s="37">
        <f>E56/E73</f>
        <v>613.96674584323046</v>
      </c>
      <c r="F85" s="37">
        <f>F56/F73</f>
        <v>588.1545667447308</v>
      </c>
      <c r="G85" s="37">
        <f>AVERAGE(B85:F85)</f>
        <v>619.94975333332809</v>
      </c>
    </row>
    <row r="86" spans="1:7" x14ac:dyDescent="0.2">
      <c r="B86" s="76"/>
      <c r="C86" s="76"/>
      <c r="D86" s="76"/>
      <c r="E86" s="76"/>
      <c r="F86" s="76"/>
      <c r="G86" s="76"/>
    </row>
    <row r="88" spans="1:7" x14ac:dyDescent="0.2">
      <c r="A88" s="22" t="s">
        <v>58</v>
      </c>
      <c r="B88" s="79"/>
      <c r="C88" s="79"/>
      <c r="D88" s="79"/>
      <c r="E88" s="79"/>
      <c r="F88" s="79"/>
      <c r="G88" s="79"/>
    </row>
    <row r="89" spans="1:7" x14ac:dyDescent="0.2">
      <c r="B89" s="73" t="s">
        <v>66</v>
      </c>
      <c r="C89" s="73" t="s">
        <v>68</v>
      </c>
      <c r="D89" s="73" t="s">
        <v>70</v>
      </c>
      <c r="E89" s="73" t="s">
        <v>76</v>
      </c>
      <c r="F89" s="73" t="s">
        <v>77</v>
      </c>
      <c r="G89" s="83" t="s">
        <v>1</v>
      </c>
    </row>
    <row r="90" spans="1:7" x14ac:dyDescent="0.2">
      <c r="A90" t="s">
        <v>15</v>
      </c>
      <c r="B90" s="85">
        <f>SUM(ACBL:NEC!B90)</f>
        <v>21115652</v>
      </c>
      <c r="C90" s="85">
        <f>SUM(ACBL:NEC!C90)</f>
        <v>22004664</v>
      </c>
      <c r="D90" s="85">
        <f>SUM(ACBL:NEC!D90)</f>
        <v>24248499.41</v>
      </c>
      <c r="E90" s="85">
        <f>SUM(ACBL:NEC!E90)</f>
        <v>23920303.829999998</v>
      </c>
      <c r="F90" s="85">
        <f>SUM(ACBL:NEC!F90)</f>
        <v>0</v>
      </c>
      <c r="G90" s="75">
        <f>AVERAGE(B90:F90)</f>
        <v>18257823.847999997</v>
      </c>
    </row>
    <row r="91" spans="1:7" x14ac:dyDescent="0.2">
      <c r="A91" s="16"/>
      <c r="B91" s="76"/>
      <c r="C91" s="76"/>
      <c r="D91" s="76"/>
      <c r="E91" s="76"/>
      <c r="F91" s="76"/>
      <c r="G91" s="76"/>
    </row>
    <row r="93" spans="1:7" x14ac:dyDescent="0.2">
      <c r="A93" s="22" t="s">
        <v>54</v>
      </c>
      <c r="B93" s="79"/>
      <c r="C93" s="79"/>
      <c r="D93" s="79"/>
      <c r="E93" s="79"/>
      <c r="F93" s="79"/>
      <c r="G93" s="79"/>
    </row>
    <row r="94" spans="1:7" x14ac:dyDescent="0.2">
      <c r="B94" s="73" t="s">
        <v>66</v>
      </c>
      <c r="C94" s="73" t="s">
        <v>68</v>
      </c>
      <c r="D94" s="73" t="s">
        <v>70</v>
      </c>
      <c r="E94" s="73" t="s">
        <v>76</v>
      </c>
      <c r="F94" s="73" t="s">
        <v>77</v>
      </c>
      <c r="G94" s="83" t="s">
        <v>1</v>
      </c>
    </row>
    <row r="95" spans="1:7" x14ac:dyDescent="0.2">
      <c r="A95" t="s">
        <v>16</v>
      </c>
      <c r="B95" s="37">
        <f>B90/B56</f>
        <v>119.6564382412775</v>
      </c>
      <c r="C95" s="37">
        <f>C90/C56</f>
        <v>122.99017405010228</v>
      </c>
      <c r="D95" s="37">
        <f>D90/D56</f>
        <v>138.38177133921897</v>
      </c>
      <c r="E95" s="37">
        <f>E90/E56</f>
        <v>138.81327663649023</v>
      </c>
      <c r="F95" s="37">
        <f>F90/F56</f>
        <v>0</v>
      </c>
      <c r="G95" s="37">
        <f>AVERAGE(B95:F95)</f>
        <v>103.9683320534178</v>
      </c>
    </row>
    <row r="101" spans="2:2" x14ac:dyDescent="0.2">
      <c r="B101" s="84"/>
    </row>
  </sheetData>
  <mergeCells count="4">
    <mergeCell ref="A1:G1"/>
    <mergeCell ref="A2:G2"/>
    <mergeCell ref="A4:G4"/>
    <mergeCell ref="B6:D6"/>
  </mergeCells>
  <phoneticPr fontId="6" type="noConversion"/>
  <printOptions horizontalCentered="1" verticalCentered="1"/>
  <pageMargins left="0.75" right="0.75" top="0.5" bottom="0.5" header="0.5" footer="0.5"/>
  <pageSetup orientation="portrait" r:id="rId1"/>
  <headerFooter alignWithMargins="0">
    <oddFooter>&amp;R&amp;8Prepared by:  OIRPA (kr)
&amp;F  &amp;A</oddFooter>
  </headerFooter>
  <rowBreaks count="1" manualBreakCount="1">
    <brk id="50"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43" t="s">
        <v>33</v>
      </c>
      <c r="C6" s="142"/>
      <c r="D6" s="142"/>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3">
        <v>142</v>
      </c>
      <c r="C13" s="3">
        <v>125</v>
      </c>
      <c r="D13" s="62">
        <v>134</v>
      </c>
      <c r="E13" s="3">
        <f>95+31</f>
        <v>126</v>
      </c>
      <c r="F13" s="3">
        <v>112</v>
      </c>
      <c r="G13" s="110">
        <f>AVERAGE(B13:F13)</f>
        <v>127.8</v>
      </c>
    </row>
    <row r="14" spans="1:8" x14ac:dyDescent="0.2">
      <c r="A14" s="87" t="s">
        <v>4</v>
      </c>
      <c r="B14" s="3">
        <v>17</v>
      </c>
      <c r="C14" s="3">
        <v>25</v>
      </c>
      <c r="D14" s="62">
        <v>22</v>
      </c>
      <c r="E14" s="3">
        <f>23+5</f>
        <v>28</v>
      </c>
      <c r="F14" s="3">
        <v>23</v>
      </c>
      <c r="G14" s="110">
        <f>AVERAGE(B14:F14)</f>
        <v>23</v>
      </c>
    </row>
    <row r="15" spans="1:8" x14ac:dyDescent="0.2">
      <c r="A15" s="87" t="s">
        <v>5</v>
      </c>
      <c r="B15" s="3">
        <f>SUM(B13:B14)</f>
        <v>159</v>
      </c>
      <c r="C15" s="3">
        <f>SUM(C13:C14)</f>
        <v>150</v>
      </c>
      <c r="D15" s="3">
        <f>SUM(D13:D14)</f>
        <v>156</v>
      </c>
      <c r="E15" s="62">
        <f>SUM(E13:E14)</f>
        <v>154</v>
      </c>
      <c r="F15" s="62">
        <f>SUM(F13:F14)</f>
        <v>135</v>
      </c>
      <c r="G15" s="94">
        <f>AVERAGE(B15:F15)</f>
        <v>150.80000000000001</v>
      </c>
    </row>
    <row r="16" spans="1:8" x14ac:dyDescent="0.2">
      <c r="A16" s="111" t="s">
        <v>61</v>
      </c>
      <c r="B16" s="9">
        <f>B13+(B14/3)</f>
        <v>147.66666666666666</v>
      </c>
      <c r="C16" s="9">
        <f>C13+(C14/3)</f>
        <v>133.33333333333334</v>
      </c>
      <c r="D16" s="9">
        <f>D13+(D14/3)</f>
        <v>141.33333333333334</v>
      </c>
      <c r="E16" s="63">
        <f>E13+(E14/3)</f>
        <v>135.33333333333334</v>
      </c>
      <c r="F16" s="63">
        <f>F13+(F14/3)</f>
        <v>119.66666666666667</v>
      </c>
      <c r="G16" s="94">
        <f>AVERAGE(B16:F16)</f>
        <v>135.46666666666667</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v>14</v>
      </c>
      <c r="C22" s="3">
        <v>13</v>
      </c>
      <c r="D22" s="62">
        <v>25</v>
      </c>
      <c r="E22" s="3">
        <v>25</v>
      </c>
      <c r="F22" s="3">
        <v>15</v>
      </c>
      <c r="G22" s="110">
        <f>AVERAGE(B22:F22)</f>
        <v>18.399999999999999</v>
      </c>
    </row>
    <row r="23" spans="1:8" x14ac:dyDescent="0.2">
      <c r="A23" s="87" t="s">
        <v>4</v>
      </c>
      <c r="B23" s="3">
        <v>18</v>
      </c>
      <c r="C23" s="3">
        <v>19</v>
      </c>
      <c r="D23" s="62">
        <v>16</v>
      </c>
      <c r="E23" s="3">
        <v>23</v>
      </c>
      <c r="F23" s="3">
        <v>23</v>
      </c>
      <c r="G23" s="110">
        <f>AVERAGE(B23:F23)</f>
        <v>19.8</v>
      </c>
    </row>
    <row r="24" spans="1:8" x14ac:dyDescent="0.2">
      <c r="A24" s="87" t="s">
        <v>5</v>
      </c>
      <c r="B24" s="3">
        <f>SUM(B22:B23)</f>
        <v>32</v>
      </c>
      <c r="C24" s="3">
        <f>SUM(C22:C23)</f>
        <v>32</v>
      </c>
      <c r="D24" s="3">
        <f>SUM(D22:D23)</f>
        <v>41</v>
      </c>
      <c r="E24" s="62">
        <f>SUM(E22:E23)</f>
        <v>48</v>
      </c>
      <c r="F24" s="3">
        <f>SUM(F22:F23)</f>
        <v>38</v>
      </c>
      <c r="G24" s="110">
        <f>AVERAGE(B24:F24)</f>
        <v>38.200000000000003</v>
      </c>
    </row>
    <row r="25" spans="1:8" ht="13.5" thickBot="1" x14ac:dyDescent="0.25">
      <c r="A25" s="95" t="s">
        <v>61</v>
      </c>
      <c r="B25" s="96">
        <f>B22+(B23/3)</f>
        <v>20</v>
      </c>
      <c r="C25" s="96">
        <f>C22+(C23/3)</f>
        <v>19.333333333333332</v>
      </c>
      <c r="D25" s="96">
        <f>D22+(D23/3)</f>
        <v>30.333333333333332</v>
      </c>
      <c r="E25" s="113">
        <f>E22+(E23/3)</f>
        <v>32.666666666666664</v>
      </c>
      <c r="F25" s="96">
        <f>F22+(F23/3)</f>
        <v>22.666666666666668</v>
      </c>
      <c r="G25" s="114">
        <f>AVERAGE(B25:F25)</f>
        <v>24.999999999999996</v>
      </c>
    </row>
    <row r="26" spans="1:8" x14ac:dyDescent="0.2">
      <c r="A26" s="5"/>
      <c r="B26" s="7"/>
      <c r="C26" s="7"/>
      <c r="D26" s="7"/>
      <c r="E26" s="7"/>
      <c r="F26" s="7"/>
      <c r="G26" s="7"/>
      <c r="H26" s="5"/>
    </row>
    <row r="27" spans="1:8" x14ac:dyDescent="0.2">
      <c r="A27" s="5" t="s">
        <v>48</v>
      </c>
    </row>
    <row r="28" spans="1:8" ht="13.5" thickBot="1" x14ac:dyDescent="0.25">
      <c r="A28" t="s">
        <v>49</v>
      </c>
    </row>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8">
        <v>42</v>
      </c>
      <c r="C32" s="8">
        <v>44</v>
      </c>
      <c r="D32" s="8">
        <v>35</v>
      </c>
      <c r="E32" s="3">
        <v>35</v>
      </c>
      <c r="F32" s="3">
        <v>34</v>
      </c>
      <c r="G32" s="94">
        <f>AVERAGE(B32:F32)</f>
        <v>38</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v>11</v>
      </c>
      <c r="C36" s="104">
        <v>20</v>
      </c>
      <c r="D36" s="104">
        <v>11</v>
      </c>
      <c r="E36" s="104">
        <v>25</v>
      </c>
      <c r="F36" s="104">
        <v>14</v>
      </c>
      <c r="G36" s="97">
        <f>AVERAGE(B36:F36)</f>
        <v>16.2</v>
      </c>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3.7857142857142856</v>
      </c>
      <c r="C42" s="9">
        <f>C15/C32</f>
        <v>3.4090909090909092</v>
      </c>
      <c r="D42" s="9">
        <f>D15/D32</f>
        <v>4.4571428571428573</v>
      </c>
      <c r="E42" s="9">
        <f>E15/E32</f>
        <v>4.4000000000000004</v>
      </c>
      <c r="F42" s="9">
        <f>F15/F32</f>
        <v>3.9705882352941178</v>
      </c>
      <c r="G42" s="94">
        <f>AVERAGE(B42:F42)</f>
        <v>4.0045072574484335</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f>B24/B36</f>
        <v>2.9090909090909092</v>
      </c>
      <c r="C46" s="96">
        <f>C24/C36</f>
        <v>1.6</v>
      </c>
      <c r="D46" s="96">
        <f>D24/D36</f>
        <v>3.7272727272727271</v>
      </c>
      <c r="E46" s="96">
        <f>E24/E36</f>
        <v>1.92</v>
      </c>
      <c r="F46" s="96">
        <f>F24/F36</f>
        <v>2.7142857142857144</v>
      </c>
      <c r="G46" s="97">
        <f>AVERAGE(B46:F46)</f>
        <v>2.5741298701298705</v>
      </c>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7062</v>
      </c>
      <c r="C54" s="10">
        <v>5811</v>
      </c>
      <c r="D54" s="10">
        <v>5631</v>
      </c>
      <c r="E54" s="10">
        <v>5823</v>
      </c>
      <c r="F54" s="10">
        <v>6042</v>
      </c>
      <c r="G54" s="103">
        <f>AVERAGE(B54:F54)</f>
        <v>6073.8</v>
      </c>
    </row>
    <row r="55" spans="1:7" x14ac:dyDescent="0.2">
      <c r="A55" s="87" t="s">
        <v>12</v>
      </c>
      <c r="B55" s="10">
        <v>2649</v>
      </c>
      <c r="C55" s="10">
        <v>2709</v>
      </c>
      <c r="D55" s="10">
        <v>2055</v>
      </c>
      <c r="E55" s="10">
        <v>1395</v>
      </c>
      <c r="F55" s="10">
        <v>1563</v>
      </c>
      <c r="G55" s="103">
        <f>AVERAGE(B55:F55)</f>
        <v>2074.1999999999998</v>
      </c>
    </row>
    <row r="56" spans="1:7" ht="13.5" thickBot="1" x14ac:dyDescent="0.25">
      <c r="A56" s="98" t="s">
        <v>5</v>
      </c>
      <c r="B56" s="106">
        <f>SUM(B54:B55)</f>
        <v>9711</v>
      </c>
      <c r="C56" s="106">
        <f>SUM(C54:C55)</f>
        <v>8520</v>
      </c>
      <c r="D56" s="106">
        <f>SUM(D54:D55)</f>
        <v>7686</v>
      </c>
      <c r="E56" s="106">
        <f>SUM(E54:E55)</f>
        <v>7218</v>
      </c>
      <c r="F56" s="106">
        <f>SUM(F54:F55)</f>
        <v>7605</v>
      </c>
      <c r="G56" s="105">
        <f>AVERAGE(B56:F56)</f>
        <v>8148</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31</v>
      </c>
      <c r="C62" s="3">
        <v>29.6</v>
      </c>
      <c r="D62" s="3">
        <v>30.7</v>
      </c>
      <c r="E62" s="86">
        <v>29.4</v>
      </c>
      <c r="F62" s="86">
        <v>31.5</v>
      </c>
      <c r="G62" s="94">
        <f>AVERAGE(B62:F62)</f>
        <v>30.439999999999998</v>
      </c>
    </row>
    <row r="63" spans="1:7" ht="13.5" thickBot="1" x14ac:dyDescent="0.25">
      <c r="A63" s="98" t="s">
        <v>12</v>
      </c>
      <c r="B63" s="104">
        <v>29.5</v>
      </c>
      <c r="C63" s="104">
        <v>27.9</v>
      </c>
      <c r="D63" s="104">
        <v>27.8</v>
      </c>
      <c r="E63" s="104">
        <v>25.2</v>
      </c>
      <c r="F63" s="104">
        <v>25.9</v>
      </c>
      <c r="G63" s="97">
        <f>AVERAGE(B63:F63)</f>
        <v>27.26</v>
      </c>
    </row>
    <row r="64" spans="1:7" x14ac:dyDescent="0.2">
      <c r="A64" s="14"/>
    </row>
    <row r="65" spans="1:7" x14ac:dyDescent="0.2">
      <c r="A65"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10</v>
      </c>
      <c r="C70" s="3">
        <v>10</v>
      </c>
      <c r="D70" s="3">
        <v>10</v>
      </c>
      <c r="E70" s="3">
        <v>10</v>
      </c>
      <c r="F70" s="3">
        <v>9</v>
      </c>
      <c r="G70" s="94">
        <f>AVERAGE(B70:F70)</f>
        <v>9.8000000000000007</v>
      </c>
    </row>
    <row r="71" spans="1:7" x14ac:dyDescent="0.2">
      <c r="A71" s="87" t="s">
        <v>4</v>
      </c>
      <c r="B71" s="3">
        <v>2</v>
      </c>
      <c r="C71" s="3">
        <v>1</v>
      </c>
      <c r="D71" s="3">
        <v>0</v>
      </c>
      <c r="E71" s="3">
        <v>0</v>
      </c>
      <c r="F71" s="3">
        <v>0</v>
      </c>
      <c r="G71" s="94">
        <f>AVERAGE(B71:F71)</f>
        <v>0.6</v>
      </c>
    </row>
    <row r="72" spans="1:7" x14ac:dyDescent="0.2">
      <c r="A72" s="87" t="s">
        <v>5</v>
      </c>
      <c r="B72" s="3">
        <f>SUM(B70:B71)</f>
        <v>12</v>
      </c>
      <c r="C72" s="3">
        <f>SUM(C70:C71)</f>
        <v>11</v>
      </c>
      <c r="D72" s="3">
        <f>SUM(D70:D71)</f>
        <v>10</v>
      </c>
      <c r="E72" s="3">
        <f>SUM(E70:E71)</f>
        <v>10</v>
      </c>
      <c r="F72" s="3">
        <f>SUM(F70:F71)</f>
        <v>9</v>
      </c>
      <c r="G72" s="94">
        <f>AVERAGE(B72:F72)</f>
        <v>10.4</v>
      </c>
    </row>
    <row r="73" spans="1:7" ht="13.5" thickBot="1" x14ac:dyDescent="0.25">
      <c r="A73" s="95" t="s">
        <v>62</v>
      </c>
      <c r="B73" s="96">
        <f>B70+(B71/3)</f>
        <v>10.666666666666666</v>
      </c>
      <c r="C73" s="96">
        <f>C70+(C71/3)</f>
        <v>10.333333333333334</v>
      </c>
      <c r="D73" s="96">
        <f>D70+(D71/3)</f>
        <v>10</v>
      </c>
      <c r="E73" s="96">
        <f>E70+(E71/3)</f>
        <v>10</v>
      </c>
      <c r="F73" s="96">
        <f>F70+(F71/3)</f>
        <v>9</v>
      </c>
      <c r="G73" s="97">
        <f>AVERAGE(B73:F73)</f>
        <v>10</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15.71875</v>
      </c>
      <c r="C80" s="96">
        <f>(C16+C25)/C73</f>
        <v>14.774193548387098</v>
      </c>
      <c r="D80" s="96">
        <f>(D16+D25)/D73</f>
        <v>17.166666666666668</v>
      </c>
      <c r="E80" s="96">
        <f>(E16+E25)/E73</f>
        <v>16.8</v>
      </c>
      <c r="F80" s="96">
        <f>(F16+F25)/F73</f>
        <v>15.814814814814817</v>
      </c>
      <c r="G80" s="97">
        <f>AVERAGE(B80:F80)</f>
        <v>16.054885005973716</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910.40625</v>
      </c>
      <c r="C85" s="96">
        <f>C56/C73</f>
        <v>824.51612903225805</v>
      </c>
      <c r="D85" s="96">
        <f>D56/D73</f>
        <v>768.6</v>
      </c>
      <c r="E85" s="96">
        <f>E56/E73</f>
        <v>721.8</v>
      </c>
      <c r="F85" s="96">
        <f>F56/F73</f>
        <v>845</v>
      </c>
      <c r="G85" s="97">
        <f>AVERAGE(B85:F85)</f>
        <v>814.06447580645158</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v>910174</v>
      </c>
      <c r="C90" s="100">
        <v>897407</v>
      </c>
      <c r="D90" s="100">
        <v>991837</v>
      </c>
      <c r="E90" s="100">
        <v>972190</v>
      </c>
      <c r="F90" s="104"/>
      <c r="G90" s="101">
        <f>AVERAGE(B90:E90)</f>
        <v>942902</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93.726083822469363</v>
      </c>
      <c r="C95" s="102">
        <f>C90/C56</f>
        <v>105.32946009389671</v>
      </c>
      <c r="D95" s="102">
        <f>D90/D56</f>
        <v>129.04462659380692</v>
      </c>
      <c r="E95" s="102">
        <f>E90/E56</f>
        <v>134.6896647270712</v>
      </c>
      <c r="F95" s="102">
        <f>F90/F56</f>
        <v>0</v>
      </c>
      <c r="G95" s="101">
        <f>AVERAGE(B95:F95)</f>
        <v>92.557967047448841</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62" t="s">
        <v>36</v>
      </c>
      <c r="C6" s="164"/>
      <c r="D6" s="164"/>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3">
        <v>450</v>
      </c>
      <c r="C13" s="3">
        <v>378</v>
      </c>
      <c r="D13" s="62">
        <v>371</v>
      </c>
      <c r="E13" s="3">
        <f>247+110</f>
        <v>357</v>
      </c>
      <c r="F13" s="3">
        <v>407</v>
      </c>
      <c r="G13" s="110">
        <f>AVERAGE(B13:F13)</f>
        <v>392.6</v>
      </c>
    </row>
    <row r="14" spans="1:8" x14ac:dyDescent="0.2">
      <c r="A14" s="87" t="s">
        <v>4</v>
      </c>
      <c r="B14" s="3">
        <v>109</v>
      </c>
      <c r="C14" s="3">
        <v>125</v>
      </c>
      <c r="D14" s="62">
        <v>100</v>
      </c>
      <c r="E14" s="3">
        <f>50+23</f>
        <v>73</v>
      </c>
      <c r="F14" s="3">
        <v>71</v>
      </c>
      <c r="G14" s="110">
        <f>AVERAGE(B14:F14)</f>
        <v>95.6</v>
      </c>
    </row>
    <row r="15" spans="1:8" x14ac:dyDescent="0.2">
      <c r="A15" s="87" t="s">
        <v>5</v>
      </c>
      <c r="B15" s="3">
        <f>SUM(B13:B14)</f>
        <v>559</v>
      </c>
      <c r="C15" s="3">
        <f>SUM(C13:C14)</f>
        <v>503</v>
      </c>
      <c r="D15" s="3">
        <f>SUM(D13:D14)</f>
        <v>471</v>
      </c>
      <c r="E15" s="62">
        <f>SUM(E13:E14)</f>
        <v>430</v>
      </c>
      <c r="F15" s="62">
        <f>SUM(F13:F14)</f>
        <v>478</v>
      </c>
      <c r="G15" s="94">
        <f>AVERAGE(B15:F15)</f>
        <v>488.2</v>
      </c>
    </row>
    <row r="16" spans="1:8" x14ac:dyDescent="0.2">
      <c r="A16" s="111" t="s">
        <v>61</v>
      </c>
      <c r="B16" s="9">
        <f>B13+(B14/3)</f>
        <v>486.33333333333331</v>
      </c>
      <c r="C16" s="9">
        <f>C13+(C14/3)</f>
        <v>419.66666666666669</v>
      </c>
      <c r="D16" s="9">
        <f>D13+(D14/3)</f>
        <v>404.33333333333331</v>
      </c>
      <c r="E16" s="63">
        <f>E13+(E14/3)</f>
        <v>381.33333333333331</v>
      </c>
      <c r="F16" s="63">
        <f>F13+(F14/3)</f>
        <v>430.66666666666669</v>
      </c>
      <c r="G16" s="94">
        <f>AVERAGE(B16:F16)</f>
        <v>424.46666666666658</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8">
        <v>223</v>
      </c>
      <c r="C22" s="8">
        <v>199</v>
      </c>
      <c r="D22" s="64">
        <v>174</v>
      </c>
      <c r="E22" s="3">
        <v>114</v>
      </c>
      <c r="F22" s="3">
        <v>82</v>
      </c>
      <c r="G22" s="110">
        <f>AVERAGE(B22:F22)</f>
        <v>158.4</v>
      </c>
    </row>
    <row r="23" spans="1:8" x14ac:dyDescent="0.2">
      <c r="A23" s="87" t="s">
        <v>4</v>
      </c>
      <c r="B23" s="8">
        <v>426</v>
      </c>
      <c r="C23" s="8">
        <v>385</v>
      </c>
      <c r="D23" s="64">
        <v>406</v>
      </c>
      <c r="E23" s="3">
        <v>334</v>
      </c>
      <c r="F23" s="3">
        <v>285</v>
      </c>
      <c r="G23" s="110">
        <f>AVERAGE(B23:F23)</f>
        <v>367.2</v>
      </c>
    </row>
    <row r="24" spans="1:8" x14ac:dyDescent="0.2">
      <c r="A24" s="87" t="s">
        <v>5</v>
      </c>
      <c r="B24" s="8">
        <f>SUM(B22:B23)</f>
        <v>649</v>
      </c>
      <c r="C24" s="8">
        <f>SUM(C22:C23)</f>
        <v>584</v>
      </c>
      <c r="D24" s="8">
        <f>SUM(D22:D23)</f>
        <v>580</v>
      </c>
      <c r="E24" s="64">
        <f>SUM(E22:E23)</f>
        <v>448</v>
      </c>
      <c r="F24" s="8">
        <f>SUM(F22:F23)</f>
        <v>367</v>
      </c>
      <c r="G24" s="110">
        <f>AVERAGE(B24:F24)</f>
        <v>525.6</v>
      </c>
    </row>
    <row r="25" spans="1:8" ht="13.5" thickBot="1" x14ac:dyDescent="0.25">
      <c r="A25" s="95" t="s">
        <v>61</v>
      </c>
      <c r="B25" s="136">
        <f>B22+(B23/3)</f>
        <v>365</v>
      </c>
      <c r="C25" s="136">
        <f>C22+(C23/3)</f>
        <v>327.33333333333337</v>
      </c>
      <c r="D25" s="136">
        <f>D22+(D23/3)</f>
        <v>309.33333333333337</v>
      </c>
      <c r="E25" s="137">
        <f>E22+(E23/3)</f>
        <v>225.33333333333331</v>
      </c>
      <c r="F25" s="136">
        <f>F22+(F23/3)</f>
        <v>177</v>
      </c>
      <c r="G25" s="114">
        <f>AVERAGE(B25:F25)</f>
        <v>280.8</v>
      </c>
    </row>
    <row r="26" spans="1:8" x14ac:dyDescent="0.2">
      <c r="A26" s="5"/>
      <c r="B26" s="5"/>
      <c r="C26" s="5"/>
      <c r="D26" s="5"/>
      <c r="E26" s="5"/>
      <c r="F26" s="5"/>
      <c r="G26" s="7"/>
      <c r="H26" s="5"/>
    </row>
    <row r="27" spans="1:8" x14ac:dyDescent="0.2">
      <c r="A27" s="14"/>
      <c r="B27" s="19"/>
      <c r="C27" s="19"/>
      <c r="D27" s="19"/>
      <c r="E27" s="19"/>
      <c r="F27" s="19"/>
    </row>
    <row r="28" spans="1:8" ht="13.5" thickBot="1" x14ac:dyDescent="0.25">
      <c r="B28" s="19"/>
      <c r="C28" s="19"/>
      <c r="D28" s="19"/>
      <c r="E28" s="19"/>
      <c r="F28" s="19"/>
    </row>
    <row r="29" spans="1:8" x14ac:dyDescent="0.2">
      <c r="A29" s="88" t="s">
        <v>25</v>
      </c>
      <c r="B29" s="89"/>
      <c r="C29" s="89"/>
      <c r="D29" s="89"/>
      <c r="E29" s="89"/>
      <c r="F29" s="89"/>
      <c r="G29" s="90"/>
    </row>
    <row r="30" spans="1:8" x14ac:dyDescent="0.2">
      <c r="A30" s="91"/>
      <c r="B30" s="5"/>
      <c r="C30" s="5"/>
      <c r="D30" s="5"/>
      <c r="E30" s="5"/>
      <c r="F30" s="5"/>
      <c r="G30" s="92"/>
    </row>
    <row r="31" spans="1:8" x14ac:dyDescent="0.2">
      <c r="A31" s="93" t="s">
        <v>0</v>
      </c>
      <c r="B31" s="139" t="s">
        <v>66</v>
      </c>
      <c r="C31" s="139" t="s">
        <v>68</v>
      </c>
      <c r="D31" s="139" t="s">
        <v>70</v>
      </c>
      <c r="E31" s="139" t="s">
        <v>76</v>
      </c>
      <c r="F31" s="139" t="s">
        <v>77</v>
      </c>
      <c r="G31" s="140" t="s">
        <v>1</v>
      </c>
    </row>
    <row r="32" spans="1:8" ht="25.5" x14ac:dyDescent="0.2">
      <c r="A32" s="107" t="s">
        <v>7</v>
      </c>
      <c r="B32" s="8">
        <v>135</v>
      </c>
      <c r="C32" s="8">
        <v>122</v>
      </c>
      <c r="D32" s="8">
        <v>96</v>
      </c>
      <c r="E32" s="3">
        <v>75</v>
      </c>
      <c r="F32" s="3">
        <v>84</v>
      </c>
      <c r="G32" s="94">
        <f>AVERAGE(B32:F32)</f>
        <v>102.4</v>
      </c>
    </row>
    <row r="33" spans="1:8" x14ac:dyDescent="0.2">
      <c r="A33" s="91"/>
      <c r="B33" s="5"/>
      <c r="C33" s="5"/>
      <c r="D33" s="5"/>
      <c r="E33" s="5"/>
      <c r="F33" s="7"/>
      <c r="G33" s="92"/>
    </row>
    <row r="34" spans="1:8" x14ac:dyDescent="0.2">
      <c r="A34" s="91"/>
      <c r="B34" s="5"/>
      <c r="C34" s="5"/>
      <c r="D34" s="5"/>
      <c r="E34" s="5"/>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19">
        <v>245</v>
      </c>
      <c r="C36" s="119">
        <v>185</v>
      </c>
      <c r="D36" s="119">
        <v>214</v>
      </c>
      <c r="E36" s="104">
        <f>179-9-25-13-3-1</f>
        <v>128</v>
      </c>
      <c r="F36" s="104">
        <v>120</v>
      </c>
      <c r="G36" s="97">
        <f>AVERAGE(B36:F36)</f>
        <v>178.4</v>
      </c>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4.1407407407407408</v>
      </c>
      <c r="C42" s="9">
        <f>C15/C32</f>
        <v>4.1229508196721314</v>
      </c>
      <c r="D42" s="9">
        <f>D15/D32</f>
        <v>4.90625</v>
      </c>
      <c r="E42" s="9">
        <f>E15/E32</f>
        <v>5.7333333333333334</v>
      </c>
      <c r="F42" s="9">
        <f>F15/F32</f>
        <v>5.6904761904761907</v>
      </c>
      <c r="G42" s="94">
        <f>AVERAGE(B42:F42)</f>
        <v>4.9187502168444794</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f>B24/B36</f>
        <v>2.6489795918367345</v>
      </c>
      <c r="C46" s="96">
        <f>C24/C36</f>
        <v>3.1567567567567569</v>
      </c>
      <c r="D46" s="96">
        <f>D24/D36</f>
        <v>2.7102803738317758</v>
      </c>
      <c r="E46" s="96">
        <f>E24/E36</f>
        <v>3.5</v>
      </c>
      <c r="F46" s="96">
        <f>F24/F36</f>
        <v>3.0583333333333331</v>
      </c>
      <c r="G46" s="97">
        <f>AVERAGE(B46:F46)</f>
        <v>3.0148700111517202</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9964</v>
      </c>
      <c r="C54" s="10">
        <v>9216</v>
      </c>
      <c r="D54" s="10">
        <v>9235</v>
      </c>
      <c r="E54" s="10">
        <v>9532</v>
      </c>
      <c r="F54" s="10">
        <v>10788</v>
      </c>
      <c r="G54" s="103">
        <f>AVERAGE(B54:F54)</f>
        <v>9747</v>
      </c>
    </row>
    <row r="55" spans="1:7" x14ac:dyDescent="0.2">
      <c r="A55" s="87" t="s">
        <v>12</v>
      </c>
      <c r="B55" s="10">
        <v>4356</v>
      </c>
      <c r="C55" s="10">
        <v>4020</v>
      </c>
      <c r="D55" s="10">
        <v>3294</v>
      </c>
      <c r="E55" s="10">
        <v>3564</v>
      </c>
      <c r="F55" s="10">
        <v>2640</v>
      </c>
      <c r="G55" s="103">
        <f>AVERAGE(B55:F55)</f>
        <v>3574.8</v>
      </c>
    </row>
    <row r="56" spans="1:7" ht="13.5" thickBot="1" x14ac:dyDescent="0.25">
      <c r="A56" s="98" t="s">
        <v>5</v>
      </c>
      <c r="B56" s="106">
        <f>SUM(B54:B55)</f>
        <v>14320</v>
      </c>
      <c r="C56" s="106">
        <f>SUM(C54:C55)</f>
        <v>13236</v>
      </c>
      <c r="D56" s="106">
        <f>SUM(D54:D55)</f>
        <v>12529</v>
      </c>
      <c r="E56" s="106">
        <f>SUM(E54:E55)</f>
        <v>13096</v>
      </c>
      <c r="F56" s="106">
        <f>SUM(F54:F55)</f>
        <v>13428</v>
      </c>
      <c r="G56" s="105">
        <f>AVERAGE(B56:F56)</f>
        <v>13321.8</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30.2</v>
      </c>
      <c r="C62" s="3">
        <v>29.4</v>
      </c>
      <c r="D62" s="3">
        <v>31.4</v>
      </c>
      <c r="E62" s="86">
        <v>33.9</v>
      </c>
      <c r="F62" s="86">
        <v>37.5</v>
      </c>
      <c r="G62" s="94">
        <f>AVERAGE(B62:F62)</f>
        <v>32.480000000000004</v>
      </c>
    </row>
    <row r="63" spans="1:7" ht="13.5" thickBot="1" x14ac:dyDescent="0.25">
      <c r="A63" s="98" t="s">
        <v>12</v>
      </c>
      <c r="B63" s="104">
        <v>26.1</v>
      </c>
      <c r="C63" s="104">
        <v>29.9</v>
      </c>
      <c r="D63" s="104">
        <v>27.5</v>
      </c>
      <c r="E63" s="104">
        <v>24.6</v>
      </c>
      <c r="F63" s="104">
        <v>22.1</v>
      </c>
      <c r="G63" s="97">
        <f>AVERAGE(B63:F63)</f>
        <v>26.04</v>
      </c>
    </row>
    <row r="64" spans="1:7" x14ac:dyDescent="0.2">
      <c r="A64" s="14"/>
    </row>
    <row r="65" spans="1:7" x14ac:dyDescent="0.2">
      <c r="A65"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12</v>
      </c>
      <c r="C70" s="3">
        <v>11</v>
      </c>
      <c r="D70" s="3">
        <v>11</v>
      </c>
      <c r="E70" s="3">
        <v>9</v>
      </c>
      <c r="F70" s="3">
        <v>8</v>
      </c>
      <c r="G70" s="94">
        <f>AVERAGE(B70:F70)</f>
        <v>10.199999999999999</v>
      </c>
    </row>
    <row r="71" spans="1:7" x14ac:dyDescent="0.2">
      <c r="A71" s="87" t="s">
        <v>4</v>
      </c>
      <c r="B71" s="3">
        <v>3</v>
      </c>
      <c r="C71" s="3">
        <v>4</v>
      </c>
      <c r="D71" s="3">
        <v>3</v>
      </c>
      <c r="E71" s="3">
        <v>1</v>
      </c>
      <c r="F71" s="3">
        <v>3</v>
      </c>
      <c r="G71" s="94">
        <f>AVERAGE(B71:F71)</f>
        <v>2.8</v>
      </c>
    </row>
    <row r="72" spans="1:7" x14ac:dyDescent="0.2">
      <c r="A72" s="87" t="s">
        <v>5</v>
      </c>
      <c r="B72" s="3">
        <f>SUM(B70:B71)</f>
        <v>15</v>
      </c>
      <c r="C72" s="3">
        <f>SUM(C70:C71)</f>
        <v>15</v>
      </c>
      <c r="D72" s="3">
        <f>SUM(D70:D71)</f>
        <v>14</v>
      </c>
      <c r="E72" s="3">
        <f>SUM(E70:E71)</f>
        <v>10</v>
      </c>
      <c r="F72" s="3">
        <f>SUM(F70:F71)</f>
        <v>11</v>
      </c>
      <c r="G72" s="94">
        <f>AVERAGE(B72:F72)</f>
        <v>13</v>
      </c>
    </row>
    <row r="73" spans="1:7" ht="13.5" thickBot="1" x14ac:dyDescent="0.25">
      <c r="A73" s="95" t="s">
        <v>62</v>
      </c>
      <c r="B73" s="96">
        <f>B70+(B71/3)</f>
        <v>13</v>
      </c>
      <c r="C73" s="96">
        <f>C70+(C71/3)</f>
        <v>12.333333333333334</v>
      </c>
      <c r="D73" s="96">
        <f>D70+(D71/3)</f>
        <v>12</v>
      </c>
      <c r="E73" s="96">
        <f>E70+(E71/3)</f>
        <v>9.3333333333333339</v>
      </c>
      <c r="F73" s="96">
        <f>F70+(F71/3)</f>
        <v>9</v>
      </c>
      <c r="G73" s="97">
        <f>AVERAGE(B73:F73)</f>
        <v>11.133333333333335</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65.487179487179475</v>
      </c>
      <c r="C80" s="96">
        <f>(C16+C25)/C73</f>
        <v>60.567567567567565</v>
      </c>
      <c r="D80" s="96">
        <f>(D16+D25)/D73</f>
        <v>59.472222222222229</v>
      </c>
      <c r="E80" s="96">
        <f>(E16+E25)/E73</f>
        <v>64.999999999999986</v>
      </c>
      <c r="F80" s="96">
        <f>(F16+F25)/F73</f>
        <v>67.518518518518533</v>
      </c>
      <c r="G80" s="97">
        <f>AVERAGE(B80:F80)</f>
        <v>63.609097559097563</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115">
        <f>B56/B73</f>
        <v>1101.5384615384614</v>
      </c>
      <c r="C85" s="116">
        <f>C56/C73</f>
        <v>1073.1891891891892</v>
      </c>
      <c r="D85" s="116">
        <f>D56/D73</f>
        <v>1044.0833333333333</v>
      </c>
      <c r="E85" s="116">
        <f>E56/E73</f>
        <v>1403.1428571428571</v>
      </c>
      <c r="F85" s="116">
        <f>F56/F73</f>
        <v>1492</v>
      </c>
      <c r="G85" s="117">
        <f>AVERAGE(B85:F85)</f>
        <v>1222.7907682407681</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18">
        <v>945512</v>
      </c>
      <c r="C90" s="118">
        <v>977718</v>
      </c>
      <c r="D90" s="118">
        <v>1128628.24</v>
      </c>
      <c r="E90" s="100">
        <v>1100121</v>
      </c>
      <c r="F90" s="104"/>
      <c r="G90" s="101">
        <f>AVERAGE(B90:E90)</f>
        <v>1037994.81</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66.027374301675977</v>
      </c>
      <c r="C95" s="102">
        <f>C90/C56</f>
        <v>73.868087035358116</v>
      </c>
      <c r="D95" s="102">
        <f>D90/D56</f>
        <v>90.081270652087156</v>
      </c>
      <c r="E95" s="102">
        <f>E90/E56</f>
        <v>84.004352474037873</v>
      </c>
      <c r="F95" s="102">
        <f>F90/F56</f>
        <v>0</v>
      </c>
      <c r="G95" s="101">
        <f>AVERAGE(B95:F95)</f>
        <v>62.796216892631818</v>
      </c>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43" t="s">
        <v>32</v>
      </c>
      <c r="C6" s="146"/>
      <c r="D6" s="146"/>
      <c r="E6" s="6"/>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17"/>
      <c r="C12" s="17"/>
      <c r="D12" s="17"/>
      <c r="E12" s="17"/>
      <c r="F12" s="3"/>
      <c r="G12" s="109"/>
    </row>
    <row r="13" spans="1:8" x14ac:dyDescent="0.2">
      <c r="A13" s="87" t="s">
        <v>3</v>
      </c>
      <c r="B13" s="3"/>
      <c r="C13" s="3"/>
      <c r="D13" s="62"/>
      <c r="E13" s="3"/>
      <c r="F13" s="3"/>
      <c r="G13" s="110"/>
    </row>
    <row r="14" spans="1:8" x14ac:dyDescent="0.2">
      <c r="A14" s="87" t="s">
        <v>4</v>
      </c>
      <c r="B14" s="3"/>
      <c r="C14" s="3"/>
      <c r="D14" s="62"/>
      <c r="E14" s="3"/>
      <c r="F14" s="3"/>
      <c r="G14" s="110"/>
    </row>
    <row r="15" spans="1:8" x14ac:dyDescent="0.2">
      <c r="A15" s="87" t="s">
        <v>5</v>
      </c>
      <c r="B15" s="3"/>
      <c r="C15" s="3"/>
      <c r="D15" s="3"/>
      <c r="E15" s="62"/>
      <c r="F15" s="62"/>
      <c r="G15" s="94"/>
    </row>
    <row r="16" spans="1:8" x14ac:dyDescent="0.2">
      <c r="A16" s="111" t="s">
        <v>61</v>
      </c>
      <c r="B16" s="9"/>
      <c r="C16" s="9"/>
      <c r="D16" s="9"/>
      <c r="E16" s="63"/>
      <c r="F16" s="63"/>
      <c r="G16" s="94"/>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v>26</v>
      </c>
      <c r="C22" s="3">
        <v>35</v>
      </c>
      <c r="D22" s="62">
        <v>39</v>
      </c>
      <c r="E22" s="3">
        <v>39</v>
      </c>
      <c r="F22" s="3">
        <v>22</v>
      </c>
      <c r="G22" s="110">
        <f>AVERAGE(B22:F22)</f>
        <v>32.200000000000003</v>
      </c>
    </row>
    <row r="23" spans="1:8" x14ac:dyDescent="0.2">
      <c r="A23" s="87" t="s">
        <v>4</v>
      </c>
      <c r="B23" s="3">
        <v>39</v>
      </c>
      <c r="C23" s="3">
        <v>41</v>
      </c>
      <c r="D23" s="62">
        <v>47</v>
      </c>
      <c r="E23" s="3">
        <v>49</v>
      </c>
      <c r="F23" s="3">
        <v>43</v>
      </c>
      <c r="G23" s="110">
        <f>AVERAGE(B23:F23)</f>
        <v>43.8</v>
      </c>
    </row>
    <row r="24" spans="1:8" x14ac:dyDescent="0.2">
      <c r="A24" s="87" t="s">
        <v>5</v>
      </c>
      <c r="B24" s="3">
        <f>SUM(B22:B23)</f>
        <v>65</v>
      </c>
      <c r="C24" s="3">
        <f>SUM(C22:C23)</f>
        <v>76</v>
      </c>
      <c r="D24" s="3">
        <f>SUM(D22:D23)</f>
        <v>86</v>
      </c>
      <c r="E24" s="62">
        <f>SUM(E22:E23)</f>
        <v>88</v>
      </c>
      <c r="F24" s="3">
        <f>SUM(F22:F23)</f>
        <v>65</v>
      </c>
      <c r="G24" s="110">
        <f>AVERAGE(B24:F24)</f>
        <v>76</v>
      </c>
    </row>
    <row r="25" spans="1:8" ht="13.5" thickBot="1" x14ac:dyDescent="0.25">
      <c r="A25" s="95" t="s">
        <v>61</v>
      </c>
      <c r="B25" s="96">
        <f>B22+(B23/3)</f>
        <v>39</v>
      </c>
      <c r="C25" s="96">
        <f>C22+(C23/3)</f>
        <v>48.666666666666664</v>
      </c>
      <c r="D25" s="96">
        <f>D22+(D23/3)</f>
        <v>54.666666666666664</v>
      </c>
      <c r="E25" s="113">
        <f>E22+(E23/3)</f>
        <v>55.333333333333329</v>
      </c>
      <c r="F25" s="96">
        <f>F22+(F23/3)</f>
        <v>36.333333333333336</v>
      </c>
      <c r="G25" s="114">
        <f>AVERAGE(B25:F25)</f>
        <v>46.8</v>
      </c>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3"/>
      <c r="C32" s="3"/>
      <c r="D32" s="3"/>
      <c r="E32" s="3"/>
      <c r="F32" s="3"/>
      <c r="G32" s="94"/>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19">
        <v>18</v>
      </c>
      <c r="C36" s="119">
        <v>16</v>
      </c>
      <c r="D36" s="119">
        <v>14</v>
      </c>
      <c r="E36" s="104">
        <v>27</v>
      </c>
      <c r="F36" s="104">
        <v>21</v>
      </c>
      <c r="G36" s="97">
        <f>AVERAGE(B36:F36)</f>
        <v>19.2</v>
      </c>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c r="C42" s="9"/>
      <c r="D42" s="9"/>
      <c r="E42" s="9"/>
      <c r="F42" s="9"/>
      <c r="G42" s="94"/>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f>B24/B36</f>
        <v>3.6111111111111112</v>
      </c>
      <c r="C46" s="96">
        <f>C24/C36</f>
        <v>4.75</v>
      </c>
      <c r="D46" s="96">
        <f>D24/D36</f>
        <v>6.1428571428571432</v>
      </c>
      <c r="E46" s="96">
        <f>E24/E36</f>
        <v>3.2592592592592591</v>
      </c>
      <c r="F46" s="96">
        <f>F24/F36</f>
        <v>3.0952380952380953</v>
      </c>
      <c r="G46" s="97">
        <f>AVERAGE(B46:F46)</f>
        <v>4.1716931216931217</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c r="C54" s="10"/>
      <c r="D54" s="10"/>
      <c r="E54" s="10"/>
      <c r="F54" s="10"/>
      <c r="G54" s="103"/>
    </row>
    <row r="55" spans="1:7" x14ac:dyDescent="0.2">
      <c r="A55" s="87" t="s">
        <v>12</v>
      </c>
      <c r="B55" s="10">
        <v>807</v>
      </c>
      <c r="C55" s="10">
        <v>1020</v>
      </c>
      <c r="D55" s="10">
        <v>1263</v>
      </c>
      <c r="E55" s="10">
        <v>1149</v>
      </c>
      <c r="F55" s="10">
        <v>894</v>
      </c>
      <c r="G55" s="103">
        <f>AVERAGE(B55:F55)</f>
        <v>1026.5999999999999</v>
      </c>
    </row>
    <row r="56" spans="1:7" ht="13.5" thickBot="1" x14ac:dyDescent="0.25">
      <c r="A56" s="98" t="s">
        <v>5</v>
      </c>
      <c r="B56" s="106">
        <f>SUM(B54:B55)</f>
        <v>807</v>
      </c>
      <c r="C56" s="106">
        <f>SUM(C54:C55)</f>
        <v>1020</v>
      </c>
      <c r="D56" s="106">
        <f>SUM(D54:D55)</f>
        <v>1263</v>
      </c>
      <c r="E56" s="106">
        <f>SUM(E54:E55)</f>
        <v>1149</v>
      </c>
      <c r="F56" s="106">
        <f>SUM(F54:F55)</f>
        <v>894</v>
      </c>
      <c r="G56" s="105">
        <f>AVERAGE(B56:F56)</f>
        <v>1026.5999999999999</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c r="C62" s="3"/>
      <c r="D62" s="3"/>
      <c r="E62" s="86"/>
      <c r="F62" s="86"/>
      <c r="G62" s="94"/>
    </row>
    <row r="63" spans="1:7" ht="13.5" thickBot="1" x14ac:dyDescent="0.25">
      <c r="A63" s="98" t="s">
        <v>12</v>
      </c>
      <c r="B63" s="104">
        <v>12.4</v>
      </c>
      <c r="C63" s="104">
        <v>18.399999999999999</v>
      </c>
      <c r="D63" s="104">
        <v>17.899999999999999</v>
      </c>
      <c r="E63" s="104">
        <v>16</v>
      </c>
      <c r="F63" s="104">
        <v>13</v>
      </c>
      <c r="G63" s="97">
        <f>AVERAGE(B63:F63)</f>
        <v>15.539999999999997</v>
      </c>
    </row>
    <row r="64" spans="1:7" x14ac:dyDescent="0.2">
      <c r="A64" s="14"/>
      <c r="D64" s="5"/>
      <c r="E64" s="5"/>
      <c r="F64" s="5"/>
    </row>
    <row r="65" spans="1:7" x14ac:dyDescent="0.2">
      <c r="A65" s="14"/>
      <c r="D65" s="5"/>
      <c r="E65" s="5"/>
      <c r="F65" s="5"/>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4</v>
      </c>
      <c r="C70" s="3">
        <v>4</v>
      </c>
      <c r="D70" s="3">
        <v>4</v>
      </c>
      <c r="E70" s="3">
        <v>4</v>
      </c>
      <c r="F70" s="3">
        <v>4</v>
      </c>
      <c r="G70" s="94">
        <f>AVERAGE(B70:F70)</f>
        <v>4</v>
      </c>
    </row>
    <row r="71" spans="1:7" x14ac:dyDescent="0.2">
      <c r="A71" s="87" t="s">
        <v>4</v>
      </c>
      <c r="B71" s="3">
        <v>0</v>
      </c>
      <c r="C71" s="3">
        <v>0</v>
      </c>
      <c r="D71" s="3">
        <v>2</v>
      </c>
      <c r="E71" s="3">
        <v>1</v>
      </c>
      <c r="F71" s="3">
        <v>0</v>
      </c>
      <c r="G71" s="94">
        <f>AVERAGE(B71:F71)</f>
        <v>0.6</v>
      </c>
    </row>
    <row r="72" spans="1:7" x14ac:dyDescent="0.2">
      <c r="A72" s="87" t="s">
        <v>5</v>
      </c>
      <c r="B72" s="3">
        <f>SUM(B70:B71)</f>
        <v>4</v>
      </c>
      <c r="C72" s="3">
        <f>SUM(C70:C71)</f>
        <v>4</v>
      </c>
      <c r="D72" s="3">
        <f>SUM(D70:D71)</f>
        <v>6</v>
      </c>
      <c r="E72" s="3">
        <f>SUM(E70:E71)</f>
        <v>5</v>
      </c>
      <c r="F72" s="3">
        <f>SUM(F70:F71)</f>
        <v>4</v>
      </c>
      <c r="G72" s="94">
        <f>AVERAGE(B72:F72)</f>
        <v>4.5999999999999996</v>
      </c>
    </row>
    <row r="73" spans="1:7" ht="13.5" thickBot="1" x14ac:dyDescent="0.25">
      <c r="A73" s="95" t="s">
        <v>62</v>
      </c>
      <c r="B73" s="96">
        <f>B70+(B71/3)</f>
        <v>4</v>
      </c>
      <c r="C73" s="96">
        <f>C70+(C71/3)</f>
        <v>4</v>
      </c>
      <c r="D73" s="96">
        <f>D70+(D71/3)</f>
        <v>4.666666666666667</v>
      </c>
      <c r="E73" s="96">
        <f>E70+(E71/3)</f>
        <v>4.333333333333333</v>
      </c>
      <c r="F73" s="96">
        <f>F70+(F71/3)</f>
        <v>4</v>
      </c>
      <c r="G73" s="97">
        <f>AVERAGE(B73:F73)</f>
        <v>4.2</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9.75</v>
      </c>
      <c r="C80" s="96">
        <f>(C16+C25)/C73</f>
        <v>12.166666666666666</v>
      </c>
      <c r="D80" s="96">
        <f>(D16+D25)/D73</f>
        <v>11.714285714285714</v>
      </c>
      <c r="E80" s="96">
        <f>(E16+E25)/E73</f>
        <v>12.769230769230768</v>
      </c>
      <c r="F80" s="96">
        <f>(F16+F25)/F73</f>
        <v>9.0833333333333339</v>
      </c>
      <c r="G80" s="97">
        <f>AVERAGE(B80:F80)</f>
        <v>11.096703296703296</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201.75</v>
      </c>
      <c r="C85" s="96">
        <f>C56/C73</f>
        <v>255</v>
      </c>
      <c r="D85" s="96">
        <f>D56/D73</f>
        <v>270.64285714285711</v>
      </c>
      <c r="E85" s="96">
        <f>E56/E73</f>
        <v>265.15384615384619</v>
      </c>
      <c r="F85" s="96">
        <f>F56/F73</f>
        <v>223.5</v>
      </c>
      <c r="G85" s="97">
        <f>AVERAGE(B85:F85)</f>
        <v>243.20934065934065</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v>431075</v>
      </c>
      <c r="C90" s="100">
        <v>432821</v>
      </c>
      <c r="D90" s="100">
        <f>439024.74+300.19</f>
        <v>439324.93</v>
      </c>
      <c r="E90" s="100">
        <f>440608.44+1154.87</f>
        <v>441763.31</v>
      </c>
      <c r="F90" s="104"/>
      <c r="G90" s="101">
        <f>AVERAGE(B90:E90)</f>
        <v>436246.06</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38">
        <f>B90/B56</f>
        <v>534.16976456009911</v>
      </c>
      <c r="C95" s="138">
        <f>C90/C56</f>
        <v>424.33431372549018</v>
      </c>
      <c r="D95" s="138">
        <f>D90/D56</f>
        <v>347.84238321456849</v>
      </c>
      <c r="E95" s="138">
        <f>E90/E56</f>
        <v>384.47633594429936</v>
      </c>
      <c r="F95" s="138">
        <f>F90/F56</f>
        <v>0</v>
      </c>
      <c r="G95" s="101">
        <f>AVERAGE(B95:F95)</f>
        <v>338.16455948889137</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62" t="s">
        <v>34</v>
      </c>
      <c r="C6" s="164"/>
      <c r="D6" s="164"/>
      <c r="E6" s="165"/>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3">
        <v>383</v>
      </c>
      <c r="C13" s="3">
        <v>385</v>
      </c>
      <c r="D13" s="62">
        <v>317</v>
      </c>
      <c r="E13" s="3">
        <v>294</v>
      </c>
      <c r="F13" s="3">
        <v>290</v>
      </c>
      <c r="G13" s="110">
        <f>AVERAGE(B13:F13)</f>
        <v>333.8</v>
      </c>
    </row>
    <row r="14" spans="1:8" x14ac:dyDescent="0.2">
      <c r="A14" s="87" t="s">
        <v>4</v>
      </c>
      <c r="B14" s="3">
        <v>22</v>
      </c>
      <c r="C14" s="3">
        <v>27</v>
      </c>
      <c r="D14" s="62">
        <v>29</v>
      </c>
      <c r="E14" s="3">
        <v>28</v>
      </c>
      <c r="F14" s="3">
        <v>22</v>
      </c>
      <c r="G14" s="110">
        <f>AVERAGE(B14:F14)</f>
        <v>25.6</v>
      </c>
    </row>
    <row r="15" spans="1:8" x14ac:dyDescent="0.2">
      <c r="A15" s="87" t="s">
        <v>5</v>
      </c>
      <c r="B15" s="3">
        <f>SUM(B13:B14)</f>
        <v>405</v>
      </c>
      <c r="C15" s="3">
        <f>SUM(C13:C14)</f>
        <v>412</v>
      </c>
      <c r="D15" s="3">
        <f>SUM(D13:D14)</f>
        <v>346</v>
      </c>
      <c r="E15" s="62">
        <f>SUM(E13:E14)</f>
        <v>322</v>
      </c>
      <c r="F15" s="62">
        <f>SUM(F13:F14)</f>
        <v>312</v>
      </c>
      <c r="G15" s="94">
        <f>AVERAGE(B15:F15)</f>
        <v>359.4</v>
      </c>
    </row>
    <row r="16" spans="1:8" x14ac:dyDescent="0.2">
      <c r="A16" s="111" t="s">
        <v>61</v>
      </c>
      <c r="B16" s="9">
        <f>B13+(B14/3)</f>
        <v>390.33333333333331</v>
      </c>
      <c r="C16" s="9">
        <f>C13+(C14/3)</f>
        <v>394</v>
      </c>
      <c r="D16" s="9">
        <f>D13+(D14/3)</f>
        <v>326.66666666666669</v>
      </c>
      <c r="E16" s="63">
        <f>E13+(E14/3)</f>
        <v>303.33333333333331</v>
      </c>
      <c r="F16" s="63">
        <f>F13+(F14/3)</f>
        <v>297.33333333333331</v>
      </c>
      <c r="G16" s="94">
        <f>AVERAGE(B16:F16)</f>
        <v>342.33333333333331</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8">
        <v>22</v>
      </c>
      <c r="C22" s="8">
        <v>23</v>
      </c>
      <c r="D22" s="64">
        <v>9</v>
      </c>
      <c r="E22" s="3">
        <v>23</v>
      </c>
      <c r="F22" s="3">
        <v>23</v>
      </c>
      <c r="G22" s="110">
        <f>AVERAGE(B22:F22)</f>
        <v>20</v>
      </c>
    </row>
    <row r="23" spans="1:8" x14ac:dyDescent="0.2">
      <c r="A23" s="87" t="s">
        <v>4</v>
      </c>
      <c r="B23" s="8">
        <v>85</v>
      </c>
      <c r="C23" s="8">
        <v>83</v>
      </c>
      <c r="D23" s="64">
        <v>133</v>
      </c>
      <c r="E23" s="3">
        <v>126</v>
      </c>
      <c r="F23" s="3">
        <v>91</v>
      </c>
      <c r="G23" s="110">
        <f>AVERAGE(B23:F23)</f>
        <v>103.6</v>
      </c>
    </row>
    <row r="24" spans="1:8" x14ac:dyDescent="0.2">
      <c r="A24" s="87" t="s">
        <v>5</v>
      </c>
      <c r="B24" s="8">
        <f>SUM(B22:B23)</f>
        <v>107</v>
      </c>
      <c r="C24" s="8">
        <f>SUM(C22:C23)</f>
        <v>106</v>
      </c>
      <c r="D24" s="8">
        <f>SUM(D22:D23)</f>
        <v>142</v>
      </c>
      <c r="E24" s="64">
        <f>SUM(E22:E23)</f>
        <v>149</v>
      </c>
      <c r="F24" s="8">
        <f>SUM(F22:F23)</f>
        <v>114</v>
      </c>
      <c r="G24" s="110">
        <f>AVERAGE(B24:F24)</f>
        <v>123.6</v>
      </c>
    </row>
    <row r="25" spans="1:8" ht="13.5" thickBot="1" x14ac:dyDescent="0.25">
      <c r="A25" s="95" t="s">
        <v>61</v>
      </c>
      <c r="B25" s="136">
        <f>B22+(B23/3)</f>
        <v>50.333333333333329</v>
      </c>
      <c r="C25" s="136">
        <f>C22+(C23/3)</f>
        <v>50.666666666666671</v>
      </c>
      <c r="D25" s="136">
        <f>D22+(D23/3)</f>
        <v>53.333333333333336</v>
      </c>
      <c r="E25" s="137">
        <f>E22+(E23/3)</f>
        <v>65</v>
      </c>
      <c r="F25" s="136">
        <f>F22+(F23/3)</f>
        <v>53.333333333333329</v>
      </c>
      <c r="G25" s="114">
        <f>AVERAGE(B25:F25)</f>
        <v>54.533333333333339</v>
      </c>
    </row>
    <row r="26" spans="1:8" x14ac:dyDescent="0.2">
      <c r="A26" s="5"/>
      <c r="B26" s="5"/>
      <c r="C26" s="5"/>
      <c r="D26" s="5"/>
      <c r="E26" s="5"/>
      <c r="F26" s="5"/>
      <c r="G26" s="7"/>
      <c r="H26" s="5"/>
    </row>
    <row r="27" spans="1:8" x14ac:dyDescent="0.2">
      <c r="B27" s="19"/>
      <c r="C27" s="19"/>
      <c r="D27" s="19"/>
      <c r="E27" s="19"/>
      <c r="F27" s="19"/>
    </row>
    <row r="28" spans="1:8" ht="13.5" thickBot="1" x14ac:dyDescent="0.25">
      <c r="B28" s="19"/>
      <c r="C28" s="19"/>
      <c r="D28" s="19"/>
      <c r="E28" s="19"/>
      <c r="F28" s="19"/>
    </row>
    <row r="29" spans="1:8" x14ac:dyDescent="0.2">
      <c r="A29" s="88" t="s">
        <v>25</v>
      </c>
      <c r="B29" s="89"/>
      <c r="C29" s="89"/>
      <c r="D29" s="89"/>
      <c r="E29" s="89"/>
      <c r="F29" s="89"/>
      <c r="G29" s="90"/>
    </row>
    <row r="30" spans="1:8" x14ac:dyDescent="0.2">
      <c r="A30" s="91"/>
      <c r="B30" s="5"/>
      <c r="C30" s="5"/>
      <c r="D30" s="5"/>
      <c r="E30" s="5"/>
      <c r="F30" s="5"/>
      <c r="G30" s="92"/>
    </row>
    <row r="31" spans="1:8" x14ac:dyDescent="0.2">
      <c r="A31" s="93" t="s">
        <v>0</v>
      </c>
      <c r="B31" s="139" t="s">
        <v>66</v>
      </c>
      <c r="C31" s="139" t="s">
        <v>68</v>
      </c>
      <c r="D31" s="139" t="s">
        <v>70</v>
      </c>
      <c r="E31" s="139" t="s">
        <v>76</v>
      </c>
      <c r="F31" s="139" t="s">
        <v>77</v>
      </c>
      <c r="G31" s="140" t="s">
        <v>1</v>
      </c>
    </row>
    <row r="32" spans="1:8" ht="25.5" x14ac:dyDescent="0.2">
      <c r="A32" s="107" t="s">
        <v>7</v>
      </c>
      <c r="B32" s="8">
        <v>75</v>
      </c>
      <c r="C32" s="8">
        <v>74</v>
      </c>
      <c r="D32" s="8">
        <v>59</v>
      </c>
      <c r="E32" s="3">
        <v>63</v>
      </c>
      <c r="F32" s="3">
        <v>57</v>
      </c>
      <c r="G32" s="94">
        <f>AVERAGE(B32:F32)</f>
        <v>65.599999999999994</v>
      </c>
    </row>
    <row r="33" spans="1:8" x14ac:dyDescent="0.2">
      <c r="A33" s="91"/>
      <c r="B33" s="5"/>
      <c r="C33" s="5"/>
      <c r="D33" s="5"/>
      <c r="E33" s="7"/>
      <c r="F33" s="7"/>
      <c r="G33" s="92"/>
    </row>
    <row r="34" spans="1:8" x14ac:dyDescent="0.2">
      <c r="A34" s="91"/>
      <c r="B34" s="5"/>
      <c r="C34" s="5"/>
      <c r="D34" s="5"/>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19">
        <v>20</v>
      </c>
      <c r="C36" s="119">
        <v>23</v>
      </c>
      <c r="D36" s="119">
        <v>15</v>
      </c>
      <c r="E36" s="104">
        <v>25</v>
      </c>
      <c r="F36" s="104">
        <v>27</v>
      </c>
      <c r="G36" s="97">
        <f>AVERAGE(B36:F36)</f>
        <v>22</v>
      </c>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5.4</v>
      </c>
      <c r="C42" s="9">
        <f>C15/C32</f>
        <v>5.5675675675675675</v>
      </c>
      <c r="D42" s="9">
        <f>D15/D32</f>
        <v>5.8644067796610173</v>
      </c>
      <c r="E42" s="9">
        <f>E15/E32</f>
        <v>5.1111111111111107</v>
      </c>
      <c r="F42" s="9">
        <f>F15/F32</f>
        <v>5.4736842105263159</v>
      </c>
      <c r="G42" s="94">
        <f>AVERAGE(B42:F42)</f>
        <v>5.483353933773202</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f>B24/B36</f>
        <v>5.35</v>
      </c>
      <c r="C46" s="96">
        <f>C24/C36</f>
        <v>4.6086956521739131</v>
      </c>
      <c r="D46" s="96">
        <f>D24/D36</f>
        <v>9.4666666666666668</v>
      </c>
      <c r="E46" s="96">
        <f>E24/E36</f>
        <v>5.96</v>
      </c>
      <c r="F46" s="96">
        <f>F24/F36</f>
        <v>4.2222222222222223</v>
      </c>
      <c r="G46" s="97">
        <f>AVERAGE(B46:F46)</f>
        <v>5.9215169082125598</v>
      </c>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4746</v>
      </c>
      <c r="C54" s="10">
        <v>4548</v>
      </c>
      <c r="D54" s="10">
        <v>4444</v>
      </c>
      <c r="E54" s="10">
        <v>4127</v>
      </c>
      <c r="F54" s="10">
        <v>3641</v>
      </c>
      <c r="G54" s="103">
        <f>AVERAGE(B54:F54)</f>
        <v>4301.2</v>
      </c>
    </row>
    <row r="55" spans="1:7" x14ac:dyDescent="0.2">
      <c r="A55" s="87" t="s">
        <v>12</v>
      </c>
      <c r="B55" s="10">
        <v>1083</v>
      </c>
      <c r="C55" s="10">
        <v>1077</v>
      </c>
      <c r="D55" s="10">
        <v>969</v>
      </c>
      <c r="E55" s="10">
        <v>1104</v>
      </c>
      <c r="F55" s="10">
        <v>1344</v>
      </c>
      <c r="G55" s="103">
        <f>AVERAGE(B55:F55)</f>
        <v>1115.4000000000001</v>
      </c>
    </row>
    <row r="56" spans="1:7" ht="13.5" thickBot="1" x14ac:dyDescent="0.25">
      <c r="A56" s="98" t="s">
        <v>5</v>
      </c>
      <c r="B56" s="106">
        <f>SUM(B54:B55)</f>
        <v>5829</v>
      </c>
      <c r="C56" s="106">
        <f>SUM(C54:C55)</f>
        <v>5625</v>
      </c>
      <c r="D56" s="106">
        <f>SUM(D54:D55)</f>
        <v>5413</v>
      </c>
      <c r="E56" s="106">
        <f>SUM(E54:E55)</f>
        <v>5231</v>
      </c>
      <c r="F56" s="106">
        <f>SUM(F54:F55)</f>
        <v>4985</v>
      </c>
      <c r="G56" s="105">
        <f>AVERAGE(B56:F56)</f>
        <v>5416.6</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21.5</v>
      </c>
      <c r="C62" s="3">
        <v>21.3</v>
      </c>
      <c r="D62" s="3">
        <v>22.7</v>
      </c>
      <c r="E62" s="86">
        <v>19.2</v>
      </c>
      <c r="F62" s="86">
        <v>17.8</v>
      </c>
      <c r="G62" s="94">
        <f>AVERAGE(B62:F62)</f>
        <v>20.5</v>
      </c>
    </row>
    <row r="63" spans="1:7" ht="13.5" thickBot="1" x14ac:dyDescent="0.25">
      <c r="A63" s="98" t="s">
        <v>12</v>
      </c>
      <c r="B63" s="104">
        <v>15.4</v>
      </c>
      <c r="C63" s="104">
        <v>17.5</v>
      </c>
      <c r="D63" s="104">
        <v>14.5</v>
      </c>
      <c r="E63" s="104">
        <v>17</v>
      </c>
      <c r="F63" s="104">
        <v>20.7</v>
      </c>
      <c r="G63" s="97">
        <f>AVERAGE(B63:F63)</f>
        <v>17.020000000000003</v>
      </c>
    </row>
    <row r="64" spans="1:7" x14ac:dyDescent="0.2">
      <c r="A64" s="14"/>
    </row>
    <row r="65" spans="1:7" x14ac:dyDescent="0.2">
      <c r="A65"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10</v>
      </c>
      <c r="C70" s="3">
        <v>10</v>
      </c>
      <c r="D70" s="3">
        <v>10</v>
      </c>
      <c r="E70" s="3">
        <v>9</v>
      </c>
      <c r="F70" s="3">
        <v>9</v>
      </c>
      <c r="G70" s="94">
        <f>AVERAGE(B70:F70)</f>
        <v>9.6</v>
      </c>
    </row>
    <row r="71" spans="1:7" x14ac:dyDescent="0.2">
      <c r="A71" s="87" t="s">
        <v>4</v>
      </c>
      <c r="B71" s="3">
        <v>0</v>
      </c>
      <c r="C71" s="3">
        <v>1</v>
      </c>
      <c r="D71" s="3">
        <v>1</v>
      </c>
      <c r="E71" s="3">
        <v>3</v>
      </c>
      <c r="F71" s="3">
        <v>6</v>
      </c>
      <c r="G71" s="94">
        <f>AVERAGE(B71:F71)</f>
        <v>2.2000000000000002</v>
      </c>
    </row>
    <row r="72" spans="1:7" x14ac:dyDescent="0.2">
      <c r="A72" s="87" t="s">
        <v>5</v>
      </c>
      <c r="B72" s="3">
        <f>SUM(B70:B71)</f>
        <v>10</v>
      </c>
      <c r="C72" s="3">
        <f>SUM(C70:C71)</f>
        <v>11</v>
      </c>
      <c r="D72" s="3">
        <f>SUM(D70:D71)</f>
        <v>11</v>
      </c>
      <c r="E72" s="3">
        <f>SUM(E70:E71)</f>
        <v>12</v>
      </c>
      <c r="F72" s="3">
        <f>SUM(F70:F71)</f>
        <v>15</v>
      </c>
      <c r="G72" s="94">
        <f>AVERAGE(B72:F72)</f>
        <v>11.8</v>
      </c>
    </row>
    <row r="73" spans="1:7" ht="13.5" thickBot="1" x14ac:dyDescent="0.25">
      <c r="A73" s="95" t="s">
        <v>62</v>
      </c>
      <c r="B73" s="96">
        <f>B70+(B71/3)</f>
        <v>10</v>
      </c>
      <c r="C73" s="96">
        <f>C70+(C71/3)</f>
        <v>10.333333333333334</v>
      </c>
      <c r="D73" s="96">
        <f>D70+(D71/3)</f>
        <v>10.333333333333334</v>
      </c>
      <c r="E73" s="96">
        <f>E70+(E71/3)</f>
        <v>10</v>
      </c>
      <c r="F73" s="96">
        <f>F70+(F71/3)</f>
        <v>11</v>
      </c>
      <c r="G73" s="97">
        <f>AVERAGE(B73:F73)</f>
        <v>10.333333333333334</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44.066666666666663</v>
      </c>
      <c r="C80" s="96">
        <f>(C16+C25)/C73</f>
        <v>43.032258064516128</v>
      </c>
      <c r="D80" s="96">
        <f>(D16+D25)/D73</f>
        <v>36.774193548387096</v>
      </c>
      <c r="E80" s="96">
        <f>(E16+E25)/E73</f>
        <v>36.833333333333329</v>
      </c>
      <c r="F80" s="96">
        <f>(F16+F25)/F73</f>
        <v>31.878787878787875</v>
      </c>
      <c r="G80" s="97">
        <f>AVERAGE(B80:F80)</f>
        <v>38.51704789833822</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582.9</v>
      </c>
      <c r="C85" s="96">
        <f>C56/C73</f>
        <v>544.35483870967744</v>
      </c>
      <c r="D85" s="96">
        <f>D56/D73</f>
        <v>523.83870967741927</v>
      </c>
      <c r="E85" s="96">
        <f>E56/E73</f>
        <v>523.1</v>
      </c>
      <c r="F85" s="96">
        <f>F56/F73</f>
        <v>453.18181818181819</v>
      </c>
      <c r="G85" s="97">
        <f>AVERAGE(B85:F85)</f>
        <v>525.4750733137829</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v>933471</v>
      </c>
      <c r="C90" s="100">
        <v>907913</v>
      </c>
      <c r="D90" s="100">
        <f>1008806.92+3165.35</f>
        <v>1011972.27</v>
      </c>
      <c r="E90" s="100">
        <f>1014243.82+3028.39</f>
        <v>1017272.21</v>
      </c>
      <c r="F90" s="104"/>
      <c r="G90" s="101">
        <f>AVERAGE(B90:E90)</f>
        <v>967657.12</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160.14256304683479</v>
      </c>
      <c r="C95" s="102">
        <f>C90/C56</f>
        <v>161.40675555555555</v>
      </c>
      <c r="D95" s="102">
        <f>D90/D56</f>
        <v>186.95220210604103</v>
      </c>
      <c r="E95" s="102">
        <f>E90/E56</f>
        <v>194.46993117950677</v>
      </c>
      <c r="F95" s="102">
        <f>F90/F56</f>
        <v>0</v>
      </c>
      <c r="G95" s="101">
        <f>AVERAGE(B95:F95)</f>
        <v>140.59429037758764</v>
      </c>
    </row>
  </sheetData>
  <mergeCells count="4">
    <mergeCell ref="A1:G1"/>
    <mergeCell ref="A2:G2"/>
    <mergeCell ref="A4:G4"/>
    <mergeCell ref="B6:E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42" t="s">
        <v>17</v>
      </c>
      <c r="B6" s="143" t="s">
        <v>35</v>
      </c>
      <c r="C6" s="142"/>
      <c r="D6" s="142"/>
      <c r="E6" s="1"/>
      <c r="F6" s="1"/>
      <c r="G6" s="1"/>
      <c r="H6" s="49"/>
    </row>
    <row r="7" spans="1:8" x14ac:dyDescent="0.2">
      <c r="A7" s="1"/>
      <c r="B7" s="1"/>
      <c r="C7" s="1"/>
      <c r="D7" s="1"/>
      <c r="E7" s="1"/>
      <c r="F7" s="1"/>
      <c r="G7" s="1"/>
      <c r="H7" s="49"/>
    </row>
    <row r="8" spans="1:8" ht="13.5" thickBot="1" x14ac:dyDescent="0.25"/>
    <row r="9" spans="1:8" x14ac:dyDescent="0.2">
      <c r="A9" s="88" t="s">
        <v>67</v>
      </c>
      <c r="B9" s="89"/>
      <c r="C9" s="89"/>
      <c r="D9" s="89"/>
      <c r="E9" s="89"/>
      <c r="F9" s="89"/>
      <c r="G9" s="90"/>
    </row>
    <row r="10" spans="1:8" x14ac:dyDescent="0.2">
      <c r="A10" s="91"/>
      <c r="B10" s="7"/>
      <c r="C10" s="7"/>
      <c r="D10" s="7"/>
      <c r="E10" s="7"/>
      <c r="F10" s="7"/>
      <c r="G10" s="92"/>
    </row>
    <row r="11" spans="1:8" x14ac:dyDescent="0.2">
      <c r="A11" s="93" t="s">
        <v>0</v>
      </c>
      <c r="B11" s="139" t="s">
        <v>66</v>
      </c>
      <c r="C11" s="139" t="s">
        <v>68</v>
      </c>
      <c r="D11" s="139" t="s">
        <v>70</v>
      </c>
      <c r="E11" s="139" t="s">
        <v>76</v>
      </c>
      <c r="F11" s="139" t="s">
        <v>77</v>
      </c>
      <c r="G11" s="140" t="s">
        <v>1</v>
      </c>
    </row>
    <row r="12" spans="1:8" x14ac:dyDescent="0.2">
      <c r="A12" s="87" t="s">
        <v>2</v>
      </c>
      <c r="B12" s="3"/>
      <c r="C12" s="3"/>
      <c r="D12" s="3"/>
      <c r="E12" s="62"/>
      <c r="F12" s="3"/>
      <c r="G12" s="109"/>
    </row>
    <row r="13" spans="1:8" x14ac:dyDescent="0.2">
      <c r="A13" s="87" t="s">
        <v>3</v>
      </c>
      <c r="B13" s="3">
        <v>153</v>
      </c>
      <c r="C13" s="3">
        <v>201</v>
      </c>
      <c r="D13" s="62">
        <v>215</v>
      </c>
      <c r="E13" s="3">
        <v>208</v>
      </c>
      <c r="F13" s="3">
        <v>192</v>
      </c>
      <c r="G13" s="110">
        <f>AVERAGE(B13:F13)</f>
        <v>193.8</v>
      </c>
    </row>
    <row r="14" spans="1:8" x14ac:dyDescent="0.2">
      <c r="A14" s="87" t="s">
        <v>4</v>
      </c>
      <c r="B14" s="3">
        <v>25</v>
      </c>
      <c r="C14" s="3">
        <v>25</v>
      </c>
      <c r="D14" s="62">
        <v>37</v>
      </c>
      <c r="E14" s="3">
        <v>32</v>
      </c>
      <c r="F14" s="3">
        <v>29</v>
      </c>
      <c r="G14" s="110">
        <f>AVERAGE(B14:F14)</f>
        <v>29.6</v>
      </c>
    </row>
    <row r="15" spans="1:8" x14ac:dyDescent="0.2">
      <c r="A15" s="87" t="s">
        <v>5</v>
      </c>
      <c r="B15" s="3">
        <f>SUM(B13:B14)</f>
        <v>178</v>
      </c>
      <c r="C15" s="3">
        <f>SUM(C13:C14)</f>
        <v>226</v>
      </c>
      <c r="D15" s="3">
        <f>SUM(D13:D14)</f>
        <v>252</v>
      </c>
      <c r="E15" s="62">
        <f>SUM(E13:E14)</f>
        <v>240</v>
      </c>
      <c r="F15" s="62">
        <f>SUM(F13:F14)</f>
        <v>221</v>
      </c>
      <c r="G15" s="94">
        <f>AVERAGE(B15:F15)</f>
        <v>223.4</v>
      </c>
    </row>
    <row r="16" spans="1:8" x14ac:dyDescent="0.2">
      <c r="A16" s="111" t="s">
        <v>61</v>
      </c>
      <c r="B16" s="9">
        <f>B13+(B14/3)</f>
        <v>161.33333333333334</v>
      </c>
      <c r="C16" s="9">
        <f>C13+(C14/3)</f>
        <v>209.33333333333334</v>
      </c>
      <c r="D16" s="9">
        <f>D13+(D14/3)</f>
        <v>227.33333333333334</v>
      </c>
      <c r="E16" s="63">
        <f>E13+(E14/3)</f>
        <v>218.66666666666666</v>
      </c>
      <c r="F16" s="63">
        <f>F13+(F14/3)</f>
        <v>201.66666666666666</v>
      </c>
      <c r="G16" s="94">
        <f>AVERAGE(B16:F16)</f>
        <v>203.66666666666666</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61</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8">
        <v>22</v>
      </c>
      <c r="C32" s="8">
        <v>29</v>
      </c>
      <c r="D32" s="8">
        <v>28</v>
      </c>
      <c r="E32" s="3">
        <v>36</v>
      </c>
      <c r="F32" s="3">
        <v>35</v>
      </c>
      <c r="G32" s="94">
        <f>AVERAGE(B32:F32)</f>
        <v>30</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8.0909090909090917</v>
      </c>
      <c r="C42" s="9">
        <f>C15/C32</f>
        <v>7.7931034482758621</v>
      </c>
      <c r="D42" s="9">
        <f>D15/D32</f>
        <v>9</v>
      </c>
      <c r="E42" s="9">
        <f>E15/E32</f>
        <v>6.666666666666667</v>
      </c>
      <c r="F42" s="9">
        <f>F15/F32</f>
        <v>6.3142857142857141</v>
      </c>
      <c r="G42" s="94">
        <f>AVERAGE(B42:F42)</f>
        <v>7.5729929840274677</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c r="C46" s="96"/>
      <c r="D46" s="96"/>
      <c r="E46" s="96"/>
      <c r="F46" s="96"/>
      <c r="G46" s="97"/>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3705</v>
      </c>
      <c r="C54" s="10">
        <v>5022</v>
      </c>
      <c r="D54" s="10">
        <v>5655</v>
      </c>
      <c r="E54" s="10">
        <v>5184</v>
      </c>
      <c r="F54" s="10">
        <v>5037</v>
      </c>
      <c r="G54" s="103">
        <f>AVERAGE(B54:F54)</f>
        <v>4920.6000000000004</v>
      </c>
    </row>
    <row r="55" spans="1:7" x14ac:dyDescent="0.2">
      <c r="A55" s="87" t="s">
        <v>12</v>
      </c>
      <c r="B55" s="10"/>
      <c r="C55" s="10"/>
      <c r="D55" s="10"/>
      <c r="E55" s="10"/>
      <c r="F55" s="10"/>
      <c r="G55" s="103"/>
    </row>
    <row r="56" spans="1:7" ht="13.5" thickBot="1" x14ac:dyDescent="0.25">
      <c r="A56" s="98" t="s">
        <v>5</v>
      </c>
      <c r="B56" s="106">
        <f>SUM(B54:B55)</f>
        <v>3705</v>
      </c>
      <c r="C56" s="106">
        <f>SUM(C54:C55)</f>
        <v>5022</v>
      </c>
      <c r="D56" s="106">
        <f>SUM(D54:D55)</f>
        <v>5655</v>
      </c>
      <c r="E56" s="106">
        <f>SUM(E54:E55)</f>
        <v>5184</v>
      </c>
      <c r="F56" s="106">
        <f>SUM(F54:F55)</f>
        <v>5037</v>
      </c>
      <c r="G56" s="105">
        <f>AVERAGE(B56:F56)</f>
        <v>4920.6000000000004</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23.8</v>
      </c>
      <c r="C62" s="3">
        <v>26.9</v>
      </c>
      <c r="D62" s="3">
        <v>26.2</v>
      </c>
      <c r="E62" s="86">
        <v>21.1</v>
      </c>
      <c r="F62" s="86">
        <v>20.6</v>
      </c>
      <c r="G62" s="94">
        <f>AVERAGE(B62:F62)</f>
        <v>23.72</v>
      </c>
    </row>
    <row r="63" spans="1:7" ht="13.5" thickBot="1" x14ac:dyDescent="0.25">
      <c r="A63" s="98" t="s">
        <v>12</v>
      </c>
      <c r="B63" s="104"/>
      <c r="C63" s="104"/>
      <c r="D63" s="104"/>
      <c r="E63" s="104"/>
      <c r="F63" s="104"/>
      <c r="G63" s="97"/>
    </row>
    <row r="64" spans="1:7" x14ac:dyDescent="0.2">
      <c r="A64" s="14"/>
    </row>
    <row r="65" spans="1:7" x14ac:dyDescent="0.2">
      <c r="A65"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5</v>
      </c>
      <c r="C70" s="3">
        <v>5</v>
      </c>
      <c r="D70" s="3">
        <v>5</v>
      </c>
      <c r="E70" s="3">
        <v>6</v>
      </c>
      <c r="F70" s="3">
        <v>6</v>
      </c>
      <c r="G70" s="94">
        <f>AVERAGE(B70:F70)</f>
        <v>5.4</v>
      </c>
    </row>
    <row r="71" spans="1:7" x14ac:dyDescent="0.2">
      <c r="A71" s="87" t="s">
        <v>4</v>
      </c>
      <c r="B71" s="3">
        <v>0</v>
      </c>
      <c r="C71" s="3">
        <v>3</v>
      </c>
      <c r="D71" s="3">
        <v>4</v>
      </c>
      <c r="E71" s="3">
        <v>3</v>
      </c>
      <c r="F71" s="3">
        <v>2</v>
      </c>
      <c r="G71" s="94">
        <f>AVERAGE(B71:F71)</f>
        <v>2.4</v>
      </c>
    </row>
    <row r="72" spans="1:7" x14ac:dyDescent="0.2">
      <c r="A72" s="87" t="s">
        <v>5</v>
      </c>
      <c r="B72" s="3">
        <f>SUM(B70:B71)</f>
        <v>5</v>
      </c>
      <c r="C72" s="3">
        <f>SUM(C70:C71)</f>
        <v>8</v>
      </c>
      <c r="D72" s="3">
        <f>SUM(D70:D71)</f>
        <v>9</v>
      </c>
      <c r="E72" s="3">
        <f>SUM(E70:E71)</f>
        <v>9</v>
      </c>
      <c r="F72" s="3">
        <f>SUM(F70:F71)</f>
        <v>8</v>
      </c>
      <c r="G72" s="94">
        <f>AVERAGE(B72:F72)</f>
        <v>7.8</v>
      </c>
    </row>
    <row r="73" spans="1:7" ht="13.5" thickBot="1" x14ac:dyDescent="0.25">
      <c r="A73" s="95" t="s">
        <v>62</v>
      </c>
      <c r="B73" s="96">
        <f>B70+(B71/3)</f>
        <v>5</v>
      </c>
      <c r="C73" s="96">
        <f>C70+(C71/3)</f>
        <v>6</v>
      </c>
      <c r="D73" s="96">
        <f>D70+(D71/3)</f>
        <v>6.333333333333333</v>
      </c>
      <c r="E73" s="96">
        <f>E70+(E71/3)</f>
        <v>7</v>
      </c>
      <c r="F73" s="96">
        <f>F70+(F71/3)</f>
        <v>6.666666666666667</v>
      </c>
      <c r="G73" s="97">
        <f>AVERAGE(B73:F73)</f>
        <v>6.2</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32.266666666666666</v>
      </c>
      <c r="C80" s="96">
        <f>(C16+C25)/C73</f>
        <v>34.888888888888893</v>
      </c>
      <c r="D80" s="96">
        <f>(D16+D25)/D73</f>
        <v>35.894736842105267</v>
      </c>
      <c r="E80" s="96">
        <f>(E16+E25)/E73</f>
        <v>31.238095238095237</v>
      </c>
      <c r="F80" s="96">
        <f>(F16+F25)/F73</f>
        <v>30.249999999999996</v>
      </c>
      <c r="G80" s="97">
        <f>AVERAGE(B80:F80)</f>
        <v>32.907677527151215</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741</v>
      </c>
      <c r="C85" s="96">
        <f>C56/C73</f>
        <v>837</v>
      </c>
      <c r="D85" s="96">
        <f>D56/D73</f>
        <v>892.89473684210532</v>
      </c>
      <c r="E85" s="96">
        <f>E56/E73</f>
        <v>740.57142857142856</v>
      </c>
      <c r="F85" s="96">
        <f>F56/F73</f>
        <v>755.55</v>
      </c>
      <c r="G85" s="97">
        <f>AVERAGE(B85:F85)</f>
        <v>793.40323308270672</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v>418417</v>
      </c>
      <c r="C90" s="100">
        <v>452806</v>
      </c>
      <c r="D90" s="100">
        <f>584631.46+9569.97</f>
        <v>594201.42999999993</v>
      </c>
      <c r="E90" s="100">
        <f>657237.43+24870.58</f>
        <v>682108.01</v>
      </c>
      <c r="F90" s="104"/>
      <c r="G90" s="101">
        <f>AVERAGE(B90:E90)</f>
        <v>536883.11</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112.93306342780026</v>
      </c>
      <c r="C95" s="102">
        <f>C90/C56</f>
        <v>90.164476304261257</v>
      </c>
      <c r="D95" s="102">
        <f>D90/D56</f>
        <v>105.07540760389035</v>
      </c>
      <c r="E95" s="102">
        <f>E90/E56</f>
        <v>131.57947723765432</v>
      </c>
      <c r="F95" s="102">
        <f>F90/F56</f>
        <v>0</v>
      </c>
      <c r="G95" s="101">
        <f>AVERAGE(B95:F95)</f>
        <v>87.950484914721244</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5"/>
  <sheetViews>
    <sheetView zoomScaleNormal="100" workbookViewId="0">
      <selection activeCell="A6" sqref="A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9" x14ac:dyDescent="0.2">
      <c r="A1" s="159" t="s">
        <v>27</v>
      </c>
      <c r="B1" s="159"/>
      <c r="C1" s="159"/>
      <c r="D1" s="159"/>
      <c r="E1" s="159"/>
      <c r="F1" s="159"/>
      <c r="G1" s="159"/>
      <c r="H1" s="48"/>
    </row>
    <row r="2" spans="1:9" x14ac:dyDescent="0.2">
      <c r="A2" s="159" t="s">
        <v>78</v>
      </c>
      <c r="B2" s="159"/>
      <c r="C2" s="159"/>
      <c r="D2" s="159"/>
      <c r="E2" s="159"/>
      <c r="F2" s="159"/>
      <c r="G2" s="159"/>
      <c r="H2" s="48"/>
    </row>
    <row r="4" spans="1:9" ht="15" x14ac:dyDescent="0.25">
      <c r="A4" s="161" t="s">
        <v>52</v>
      </c>
      <c r="B4" s="161"/>
      <c r="C4" s="161"/>
      <c r="D4" s="161"/>
      <c r="E4" s="161"/>
      <c r="F4" s="161"/>
      <c r="G4" s="161"/>
      <c r="H4" s="49"/>
    </row>
    <row r="5" spans="1:9" x14ac:dyDescent="0.2">
      <c r="A5" s="1"/>
      <c r="B5" s="1"/>
      <c r="C5" s="1"/>
      <c r="D5" s="1"/>
      <c r="E5" s="1"/>
      <c r="F5" s="1"/>
      <c r="G5" s="1"/>
      <c r="H5" s="49"/>
    </row>
    <row r="6" spans="1:9" x14ac:dyDescent="0.2">
      <c r="A6" s="142" t="s">
        <v>17</v>
      </c>
      <c r="B6" s="144" t="s">
        <v>44</v>
      </c>
      <c r="C6" s="145"/>
      <c r="D6" s="142"/>
      <c r="E6" s="1"/>
      <c r="F6" s="1"/>
      <c r="G6" s="1"/>
      <c r="H6" s="49"/>
      <c r="I6" s="18"/>
    </row>
    <row r="7" spans="1:9" x14ac:dyDescent="0.2">
      <c r="A7" s="1"/>
      <c r="B7" s="1"/>
      <c r="C7" s="1"/>
      <c r="D7" s="1"/>
      <c r="E7" s="1"/>
      <c r="F7" s="1"/>
      <c r="G7" s="1"/>
      <c r="H7" s="49"/>
    </row>
    <row r="8" spans="1:9" ht="13.5" thickBot="1" x14ac:dyDescent="0.25"/>
    <row r="9" spans="1:9" x14ac:dyDescent="0.2">
      <c r="A9" s="88" t="s">
        <v>67</v>
      </c>
      <c r="B9" s="89"/>
      <c r="C9" s="89"/>
      <c r="D9" s="89"/>
      <c r="E9" s="89"/>
      <c r="F9" s="89"/>
      <c r="G9" s="90"/>
    </row>
    <row r="10" spans="1:9" x14ac:dyDescent="0.2">
      <c r="A10" s="91"/>
      <c r="B10" s="7"/>
      <c r="C10" s="7"/>
      <c r="D10" s="7"/>
      <c r="E10" s="7"/>
      <c r="F10" s="7"/>
      <c r="G10" s="92"/>
    </row>
    <row r="11" spans="1:9" x14ac:dyDescent="0.2">
      <c r="A11" s="93" t="s">
        <v>0</v>
      </c>
      <c r="B11" s="139" t="s">
        <v>66</v>
      </c>
      <c r="C11" s="139" t="s">
        <v>68</v>
      </c>
      <c r="D11" s="139" t="s">
        <v>70</v>
      </c>
      <c r="E11" s="139" t="s">
        <v>76</v>
      </c>
      <c r="F11" s="139" t="s">
        <v>77</v>
      </c>
      <c r="G11" s="140" t="s">
        <v>1</v>
      </c>
    </row>
    <row r="12" spans="1:9" x14ac:dyDescent="0.2">
      <c r="A12" s="87" t="s">
        <v>2</v>
      </c>
      <c r="B12" s="3"/>
      <c r="C12" s="3"/>
      <c r="D12" s="3"/>
      <c r="E12" s="62"/>
      <c r="F12" s="3"/>
      <c r="G12" s="109"/>
    </row>
    <row r="13" spans="1:9" x14ac:dyDescent="0.2">
      <c r="A13" s="87" t="s">
        <v>3</v>
      </c>
      <c r="B13" s="3">
        <v>256</v>
      </c>
      <c r="C13" s="3">
        <v>296</v>
      </c>
      <c r="D13" s="62">
        <v>287</v>
      </c>
      <c r="E13" s="3">
        <v>291</v>
      </c>
      <c r="F13" s="3">
        <v>333</v>
      </c>
      <c r="G13" s="110">
        <f>AVERAGE(B13:F13)</f>
        <v>292.60000000000002</v>
      </c>
    </row>
    <row r="14" spans="1:9" x14ac:dyDescent="0.2">
      <c r="A14" s="87" t="s">
        <v>4</v>
      </c>
      <c r="B14" s="3">
        <v>31</v>
      </c>
      <c r="C14" s="3">
        <v>39</v>
      </c>
      <c r="D14" s="62">
        <v>34</v>
      </c>
      <c r="E14" s="3">
        <v>27</v>
      </c>
      <c r="F14" s="3">
        <v>32</v>
      </c>
      <c r="G14" s="110">
        <f>AVERAGE(B14:F14)</f>
        <v>32.6</v>
      </c>
    </row>
    <row r="15" spans="1:9" x14ac:dyDescent="0.2">
      <c r="A15" s="87" t="s">
        <v>5</v>
      </c>
      <c r="B15" s="3">
        <f>SUM(B13:B14)</f>
        <v>287</v>
      </c>
      <c r="C15" s="3">
        <f>SUM(C13:C14)</f>
        <v>335</v>
      </c>
      <c r="D15" s="3">
        <f>SUM(D13:D14)</f>
        <v>321</v>
      </c>
      <c r="E15" s="62">
        <f>SUM(E13:E14)</f>
        <v>318</v>
      </c>
      <c r="F15" s="62">
        <f>SUM(F13:F14)</f>
        <v>365</v>
      </c>
      <c r="G15" s="94">
        <f>AVERAGE(B15:F15)</f>
        <v>325.2</v>
      </c>
    </row>
    <row r="16" spans="1:9" x14ac:dyDescent="0.2">
      <c r="A16" s="111" t="s">
        <v>61</v>
      </c>
      <c r="B16" s="9">
        <f>B13+(B14/3)</f>
        <v>266.33333333333331</v>
      </c>
      <c r="C16" s="9">
        <f>C13+(C14/3)</f>
        <v>309</v>
      </c>
      <c r="D16" s="9">
        <f>D13+(D14/3)</f>
        <v>298.33333333333331</v>
      </c>
      <c r="E16" s="63">
        <f>E13+(E14/3)</f>
        <v>300</v>
      </c>
      <c r="F16" s="63">
        <f>F13+(F14/3)</f>
        <v>343.66666666666669</v>
      </c>
      <c r="G16" s="94">
        <f>AVERAGE(B16:F16)</f>
        <v>303.46666666666664</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66</v>
      </c>
      <c r="C20" s="139" t="s">
        <v>68</v>
      </c>
      <c r="D20" s="139" t="s">
        <v>70</v>
      </c>
      <c r="E20" s="139" t="s">
        <v>76</v>
      </c>
      <c r="F20" s="139" t="s">
        <v>77</v>
      </c>
      <c r="G20" s="140" t="s">
        <v>1</v>
      </c>
    </row>
    <row r="21" spans="1:8" x14ac:dyDescent="0.2">
      <c r="A21" s="87" t="s">
        <v>2</v>
      </c>
      <c r="B21" s="3"/>
      <c r="C21" s="3"/>
      <c r="D21" s="3"/>
      <c r="E21" s="62"/>
      <c r="F21" s="3"/>
      <c r="G21" s="110"/>
    </row>
    <row r="22" spans="1:8" x14ac:dyDescent="0.2">
      <c r="A22" s="87" t="s">
        <v>3</v>
      </c>
      <c r="B22" s="3">
        <v>8</v>
      </c>
      <c r="C22" s="3">
        <v>16</v>
      </c>
      <c r="D22" s="62">
        <v>11</v>
      </c>
      <c r="E22" s="3">
        <v>13</v>
      </c>
      <c r="F22" s="3">
        <v>23</v>
      </c>
      <c r="G22" s="110">
        <f>AVERAGE(B22:F22)</f>
        <v>14.2</v>
      </c>
    </row>
    <row r="23" spans="1:8" x14ac:dyDescent="0.2">
      <c r="A23" s="87" t="s">
        <v>4</v>
      </c>
      <c r="B23" s="3">
        <v>8</v>
      </c>
      <c r="C23" s="3">
        <v>14</v>
      </c>
      <c r="D23" s="62">
        <v>7</v>
      </c>
      <c r="E23" s="3">
        <v>8</v>
      </c>
      <c r="F23" s="3">
        <v>11</v>
      </c>
      <c r="G23" s="110">
        <f>AVERAGE(B23:F23)</f>
        <v>9.6</v>
      </c>
    </row>
    <row r="24" spans="1:8" x14ac:dyDescent="0.2">
      <c r="A24" s="87" t="s">
        <v>5</v>
      </c>
      <c r="B24" s="3">
        <f>SUM(B22:B23)</f>
        <v>16</v>
      </c>
      <c r="C24" s="3">
        <f>SUM(C22:C23)</f>
        <v>30</v>
      </c>
      <c r="D24" s="3">
        <f>SUM(D22:D23)</f>
        <v>18</v>
      </c>
      <c r="E24" s="62">
        <f>SUM(E22:E23)</f>
        <v>21</v>
      </c>
      <c r="F24" s="3">
        <f>SUM(F22:F23)</f>
        <v>34</v>
      </c>
      <c r="G24" s="110">
        <f>AVERAGE(B24:F24)</f>
        <v>23.8</v>
      </c>
    </row>
    <row r="25" spans="1:8" ht="13.5" thickBot="1" x14ac:dyDescent="0.25">
      <c r="A25" s="95" t="s">
        <v>61</v>
      </c>
      <c r="B25" s="96">
        <f>B22+(B23/3)</f>
        <v>10.666666666666666</v>
      </c>
      <c r="C25" s="96">
        <f>C22+(C23/3)</f>
        <v>20.666666666666668</v>
      </c>
      <c r="D25" s="96">
        <f>D22+(D23/3)</f>
        <v>13.333333333333334</v>
      </c>
      <c r="E25" s="113">
        <f>E22+(E23/3)</f>
        <v>15.666666666666666</v>
      </c>
      <c r="F25" s="96">
        <f>F22+(F23/3)</f>
        <v>26.666666666666668</v>
      </c>
      <c r="G25" s="114">
        <f>AVERAGE(B25:F25)</f>
        <v>17.399999999999999</v>
      </c>
    </row>
    <row r="26" spans="1:8" x14ac:dyDescent="0.2">
      <c r="A26" s="5"/>
      <c r="B26" s="7"/>
      <c r="C26" s="7"/>
      <c r="D26" s="7"/>
      <c r="E26" s="7"/>
      <c r="F26" s="7"/>
      <c r="G26" s="7"/>
      <c r="H26" s="5"/>
    </row>
    <row r="28" spans="1:8" ht="13.5" thickBot="1" x14ac:dyDescent="0.25"/>
    <row r="29" spans="1:8" x14ac:dyDescent="0.2">
      <c r="A29" s="88" t="s">
        <v>25</v>
      </c>
      <c r="B29" s="89"/>
      <c r="C29" s="89"/>
      <c r="D29" s="89"/>
      <c r="E29" s="89"/>
      <c r="F29" s="89"/>
      <c r="G29" s="90"/>
    </row>
    <row r="30" spans="1:8" x14ac:dyDescent="0.2">
      <c r="A30" s="91"/>
      <c r="B30" s="7"/>
      <c r="C30" s="7"/>
      <c r="D30" s="7"/>
      <c r="E30" s="7"/>
      <c r="F30" s="7"/>
      <c r="G30" s="92"/>
    </row>
    <row r="31" spans="1:8" x14ac:dyDescent="0.2">
      <c r="A31" s="93" t="s">
        <v>0</v>
      </c>
      <c r="B31" s="139" t="s">
        <v>66</v>
      </c>
      <c r="C31" s="139" t="s">
        <v>68</v>
      </c>
      <c r="D31" s="139" t="s">
        <v>70</v>
      </c>
      <c r="E31" s="139" t="s">
        <v>76</v>
      </c>
      <c r="F31" s="139" t="s">
        <v>77</v>
      </c>
      <c r="G31" s="140" t="s">
        <v>1</v>
      </c>
    </row>
    <row r="32" spans="1:8" ht="25.5" x14ac:dyDescent="0.2">
      <c r="A32" s="107" t="s">
        <v>7</v>
      </c>
      <c r="B32" s="8">
        <v>13</v>
      </c>
      <c r="C32" s="8">
        <v>41</v>
      </c>
      <c r="D32" s="8">
        <v>40</v>
      </c>
      <c r="E32" s="3">
        <v>42</v>
      </c>
      <c r="F32" s="3">
        <v>50</v>
      </c>
      <c r="G32" s="94">
        <f>AVERAGE(B32:F32)</f>
        <v>37.200000000000003</v>
      </c>
    </row>
    <row r="33" spans="1:8" x14ac:dyDescent="0.2">
      <c r="A33" s="91"/>
      <c r="B33" s="5"/>
      <c r="C33" s="5"/>
      <c r="D33" s="5"/>
      <c r="E33" s="7"/>
      <c r="F33" s="7"/>
      <c r="G33" s="92"/>
    </row>
    <row r="34" spans="1:8" x14ac:dyDescent="0.2">
      <c r="A34" s="91"/>
      <c r="B34" s="5"/>
      <c r="C34" s="5"/>
      <c r="D34" s="5"/>
      <c r="E34" s="7"/>
      <c r="F34" s="7"/>
      <c r="G34" s="92"/>
    </row>
    <row r="35" spans="1:8" s="2" customFormat="1" x14ac:dyDescent="0.2">
      <c r="A35" s="93" t="s">
        <v>6</v>
      </c>
      <c r="B35" s="139" t="s">
        <v>66</v>
      </c>
      <c r="C35" s="139" t="s">
        <v>68</v>
      </c>
      <c r="D35" s="139" t="s">
        <v>70</v>
      </c>
      <c r="E35" s="139" t="s">
        <v>76</v>
      </c>
      <c r="F35" s="139" t="s">
        <v>77</v>
      </c>
      <c r="G35" s="140" t="s">
        <v>1</v>
      </c>
      <c r="H35" s="19"/>
    </row>
    <row r="36" spans="1:8" ht="26.25" thickBot="1" x14ac:dyDescent="0.25">
      <c r="A36" s="108" t="s">
        <v>7</v>
      </c>
      <c r="B36" s="119">
        <v>7</v>
      </c>
      <c r="C36" s="119">
        <v>9</v>
      </c>
      <c r="D36" s="119">
        <v>4</v>
      </c>
      <c r="E36" s="104">
        <v>3</v>
      </c>
      <c r="F36" s="104">
        <v>9</v>
      </c>
      <c r="G36" s="97">
        <f>AVERAGE(B36:F36)</f>
        <v>6.4</v>
      </c>
    </row>
    <row r="37" spans="1:8" ht="12.75" customHeight="1" x14ac:dyDescent="0.2"/>
    <row r="38" spans="1:8" ht="13.5" thickBot="1" x14ac:dyDescent="0.25"/>
    <row r="39" spans="1:8" x14ac:dyDescent="0.2">
      <c r="A39" s="88" t="s">
        <v>26</v>
      </c>
      <c r="B39" s="89"/>
      <c r="C39" s="89"/>
      <c r="D39" s="89"/>
      <c r="E39" s="89"/>
      <c r="F39" s="89"/>
      <c r="G39" s="90"/>
    </row>
    <row r="40" spans="1:8" x14ac:dyDescent="0.2">
      <c r="A40" s="91"/>
      <c r="B40" s="7"/>
      <c r="C40" s="7"/>
      <c r="D40" s="7"/>
      <c r="E40" s="7"/>
      <c r="F40" s="7"/>
      <c r="G40" s="92"/>
    </row>
    <row r="41" spans="1:8" x14ac:dyDescent="0.2">
      <c r="A41" s="93" t="s">
        <v>0</v>
      </c>
      <c r="B41" s="139" t="s">
        <v>66</v>
      </c>
      <c r="C41" s="139" t="s">
        <v>68</v>
      </c>
      <c r="D41" s="139" t="s">
        <v>70</v>
      </c>
      <c r="E41" s="139" t="s">
        <v>76</v>
      </c>
      <c r="F41" s="139" t="s">
        <v>77</v>
      </c>
      <c r="G41" s="140" t="s">
        <v>1</v>
      </c>
    </row>
    <row r="42" spans="1:8" x14ac:dyDescent="0.2">
      <c r="A42" s="87" t="s">
        <v>8</v>
      </c>
      <c r="B42" s="9">
        <f>B15/B32</f>
        <v>22.076923076923077</v>
      </c>
      <c r="C42" s="9">
        <f>C15/C32</f>
        <v>8.1707317073170724</v>
      </c>
      <c r="D42" s="9">
        <f>D15/D32</f>
        <v>8.0250000000000004</v>
      </c>
      <c r="E42" s="9">
        <f>E15/E32</f>
        <v>7.5714285714285712</v>
      </c>
      <c r="F42" s="9">
        <f>F15/F32</f>
        <v>7.3</v>
      </c>
      <c r="G42" s="94">
        <f>AVERAGE(B42:F42)</f>
        <v>10.628816671133743</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66</v>
      </c>
      <c r="C45" s="139" t="s">
        <v>68</v>
      </c>
      <c r="D45" s="139" t="s">
        <v>70</v>
      </c>
      <c r="E45" s="139" t="s">
        <v>76</v>
      </c>
      <c r="F45" s="139" t="s">
        <v>77</v>
      </c>
      <c r="G45" s="140" t="s">
        <v>1</v>
      </c>
    </row>
    <row r="46" spans="1:8" ht="13.5" thickBot="1" x14ac:dyDescent="0.25">
      <c r="A46" s="98" t="s">
        <v>8</v>
      </c>
      <c r="B46" s="96">
        <f>B24/B36</f>
        <v>2.2857142857142856</v>
      </c>
      <c r="C46" s="96">
        <f>C24/C36</f>
        <v>3.3333333333333335</v>
      </c>
      <c r="D46" s="96">
        <f>D24/D36</f>
        <v>4.5</v>
      </c>
      <c r="E46" s="96">
        <f>E24/E36</f>
        <v>7</v>
      </c>
      <c r="F46" s="96">
        <f>F24/F36</f>
        <v>3.7777777777777777</v>
      </c>
      <c r="G46" s="97">
        <f>AVERAGE(B46:F46)</f>
        <v>4.1793650793650796</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66</v>
      </c>
      <c r="C53" s="139" t="s">
        <v>68</v>
      </c>
      <c r="D53" s="139" t="s">
        <v>70</v>
      </c>
      <c r="E53" s="139" t="s">
        <v>76</v>
      </c>
      <c r="F53" s="139" t="s">
        <v>77</v>
      </c>
      <c r="G53" s="140" t="s">
        <v>1</v>
      </c>
    </row>
    <row r="54" spans="1:7" x14ac:dyDescent="0.2">
      <c r="A54" s="87" t="s">
        <v>53</v>
      </c>
      <c r="B54" s="10">
        <v>5674</v>
      </c>
      <c r="C54" s="10">
        <v>6776</v>
      </c>
      <c r="D54" s="10">
        <v>7399</v>
      </c>
      <c r="E54" s="10">
        <v>7911</v>
      </c>
      <c r="F54" s="10">
        <v>8405</v>
      </c>
      <c r="G54" s="103">
        <f>AVERAGE(B54:F54)</f>
        <v>7233</v>
      </c>
    </row>
    <row r="55" spans="1:7" x14ac:dyDescent="0.2">
      <c r="A55" s="87" t="s">
        <v>12</v>
      </c>
      <c r="B55" s="10">
        <v>345</v>
      </c>
      <c r="C55" s="10">
        <v>363</v>
      </c>
      <c r="D55" s="10">
        <v>291</v>
      </c>
      <c r="E55" s="10">
        <v>399</v>
      </c>
      <c r="F55" s="10">
        <v>585</v>
      </c>
      <c r="G55" s="103">
        <f>AVERAGE(B55:F55)</f>
        <v>396.6</v>
      </c>
    </row>
    <row r="56" spans="1:7" ht="13.5" thickBot="1" x14ac:dyDescent="0.25">
      <c r="A56" s="98" t="s">
        <v>5</v>
      </c>
      <c r="B56" s="106">
        <f>SUM(B54:B55)</f>
        <v>6019</v>
      </c>
      <c r="C56" s="106">
        <f>SUM(C54:C55)</f>
        <v>7139</v>
      </c>
      <c r="D56" s="106">
        <f>SUM(D54:D55)</f>
        <v>7690</v>
      </c>
      <c r="E56" s="106">
        <f>SUM(E54:E55)</f>
        <v>8310</v>
      </c>
      <c r="F56" s="106">
        <f>SUM(F54:F55)</f>
        <v>8990</v>
      </c>
      <c r="G56" s="105">
        <f>AVERAGE(B56:F56)</f>
        <v>7629.6</v>
      </c>
    </row>
    <row r="58" spans="1:7" ht="13.5" thickBot="1" x14ac:dyDescent="0.25"/>
    <row r="59" spans="1:7" x14ac:dyDescent="0.2">
      <c r="A59" s="88" t="s">
        <v>74</v>
      </c>
      <c r="B59" s="89"/>
      <c r="C59" s="89"/>
      <c r="D59" s="89"/>
      <c r="E59" s="89"/>
      <c r="F59" s="89"/>
      <c r="G59" s="90"/>
    </row>
    <row r="60" spans="1:7" x14ac:dyDescent="0.2">
      <c r="A60" s="91"/>
      <c r="B60" s="7"/>
      <c r="C60" s="7"/>
      <c r="D60" s="7"/>
      <c r="E60" s="7"/>
      <c r="F60" s="7"/>
      <c r="G60" s="92"/>
    </row>
    <row r="61" spans="1:7" x14ac:dyDescent="0.2">
      <c r="A61" s="93" t="s">
        <v>11</v>
      </c>
      <c r="B61" s="139" t="s">
        <v>66</v>
      </c>
      <c r="C61" s="139" t="s">
        <v>68</v>
      </c>
      <c r="D61" s="139" t="s">
        <v>70</v>
      </c>
      <c r="E61" s="139" t="s">
        <v>76</v>
      </c>
      <c r="F61" s="139" t="s">
        <v>77</v>
      </c>
      <c r="G61" s="140" t="s">
        <v>1</v>
      </c>
    </row>
    <row r="62" spans="1:7" x14ac:dyDescent="0.2">
      <c r="A62" s="87" t="s">
        <v>53</v>
      </c>
      <c r="B62" s="3">
        <v>22.3</v>
      </c>
      <c r="C62" s="3">
        <v>24.7</v>
      </c>
      <c r="D62" s="3">
        <v>22.9</v>
      </c>
      <c r="E62" s="86">
        <v>22.9</v>
      </c>
      <c r="F62" s="86">
        <v>22.9</v>
      </c>
      <c r="G62" s="94">
        <f>AVERAGE(B62:F62)</f>
        <v>23.140000000000004</v>
      </c>
    </row>
    <row r="63" spans="1:7" ht="13.5" thickBot="1" x14ac:dyDescent="0.25">
      <c r="A63" s="98" t="s">
        <v>12</v>
      </c>
      <c r="B63" s="104">
        <v>9.1</v>
      </c>
      <c r="C63" s="104">
        <v>8.5</v>
      </c>
      <c r="D63" s="104">
        <v>10.199999999999999</v>
      </c>
      <c r="E63" s="104">
        <v>9.6</v>
      </c>
      <c r="F63" s="104">
        <v>11.8</v>
      </c>
      <c r="G63" s="97">
        <f>AVERAGE(B63:F63)</f>
        <v>9.84</v>
      </c>
    </row>
    <row r="64" spans="1:7" x14ac:dyDescent="0.2">
      <c r="A64" s="14"/>
    </row>
    <row r="65" spans="1:7" x14ac:dyDescent="0.2">
      <c r="A65" s="14"/>
    </row>
    <row r="66" spans="1:7" ht="13.5" thickBot="1" x14ac:dyDescent="0.25"/>
    <row r="67" spans="1:7" x14ac:dyDescent="0.2">
      <c r="A67" s="88" t="s">
        <v>60</v>
      </c>
      <c r="B67" s="89"/>
      <c r="C67" s="89"/>
      <c r="D67" s="89"/>
      <c r="E67" s="89"/>
      <c r="F67" s="89"/>
      <c r="G67" s="90"/>
    </row>
    <row r="68" spans="1:7" x14ac:dyDescent="0.2">
      <c r="A68" s="91"/>
      <c r="B68" s="7"/>
      <c r="C68" s="7"/>
      <c r="D68" s="7"/>
      <c r="E68" s="7"/>
      <c r="F68" s="7"/>
      <c r="G68" s="92"/>
    </row>
    <row r="69" spans="1:7" x14ac:dyDescent="0.2">
      <c r="A69" s="93" t="s">
        <v>13</v>
      </c>
      <c r="B69" s="139" t="s">
        <v>66</v>
      </c>
      <c r="C69" s="139" t="s">
        <v>68</v>
      </c>
      <c r="D69" s="139" t="s">
        <v>70</v>
      </c>
      <c r="E69" s="139" t="s">
        <v>76</v>
      </c>
      <c r="F69" s="139" t="s">
        <v>77</v>
      </c>
      <c r="G69" s="140" t="s">
        <v>1</v>
      </c>
    </row>
    <row r="70" spans="1:7" x14ac:dyDescent="0.2">
      <c r="A70" s="87" t="s">
        <v>3</v>
      </c>
      <c r="B70" s="3">
        <v>8</v>
      </c>
      <c r="C70" s="3">
        <v>9</v>
      </c>
      <c r="D70" s="3">
        <v>9</v>
      </c>
      <c r="E70" s="3">
        <v>8</v>
      </c>
      <c r="F70" s="3">
        <v>10</v>
      </c>
      <c r="G70" s="94">
        <f>AVERAGE(B70:F70)</f>
        <v>8.8000000000000007</v>
      </c>
    </row>
    <row r="71" spans="1:7" x14ac:dyDescent="0.2">
      <c r="A71" s="87" t="s">
        <v>4</v>
      </c>
      <c r="B71" s="3">
        <v>5</v>
      </c>
      <c r="C71" s="3">
        <v>7</v>
      </c>
      <c r="D71" s="3">
        <v>6</v>
      </c>
      <c r="E71" s="3">
        <v>5</v>
      </c>
      <c r="F71" s="3">
        <v>5</v>
      </c>
      <c r="G71" s="94">
        <f>AVERAGE(B71:F71)</f>
        <v>5.6</v>
      </c>
    </row>
    <row r="72" spans="1:7" x14ac:dyDescent="0.2">
      <c r="A72" s="87" t="s">
        <v>5</v>
      </c>
      <c r="B72" s="3">
        <f>SUM(B70:B71)</f>
        <v>13</v>
      </c>
      <c r="C72" s="3">
        <f>SUM(C70:C71)</f>
        <v>16</v>
      </c>
      <c r="D72" s="3">
        <f>SUM(D70:D71)</f>
        <v>15</v>
      </c>
      <c r="E72" s="3">
        <f>SUM(E70:E71)</f>
        <v>13</v>
      </c>
      <c r="F72" s="3">
        <f>SUM(F70:F71)</f>
        <v>15</v>
      </c>
      <c r="G72" s="94">
        <f>AVERAGE(B72:F72)</f>
        <v>14.4</v>
      </c>
    </row>
    <row r="73" spans="1:7" ht="13.5" thickBot="1" x14ac:dyDescent="0.25">
      <c r="A73" s="95" t="s">
        <v>62</v>
      </c>
      <c r="B73" s="96">
        <f>B70+(B71/3)</f>
        <v>9.6666666666666661</v>
      </c>
      <c r="C73" s="96">
        <f>C70+(C71/3)</f>
        <v>11.333333333333334</v>
      </c>
      <c r="D73" s="96">
        <f>D70+(D71/3)</f>
        <v>11</v>
      </c>
      <c r="E73" s="96">
        <f>E70+(E71/3)</f>
        <v>9.6666666666666661</v>
      </c>
      <c r="F73" s="96">
        <f>F70+(F71/3)</f>
        <v>11.666666666666666</v>
      </c>
      <c r="G73" s="97">
        <f>AVERAGE(B73:F73)</f>
        <v>10.666666666666666</v>
      </c>
    </row>
    <row r="74" spans="1:7" x14ac:dyDescent="0.2">
      <c r="A74" s="5"/>
    </row>
    <row r="75" spans="1:7" x14ac:dyDescent="0.2">
      <c r="A75" s="5"/>
    </row>
    <row r="77" spans="1:7" ht="13.5" thickBot="1" x14ac:dyDescent="0.25"/>
    <row r="78" spans="1:7" x14ac:dyDescent="0.2">
      <c r="A78" s="88" t="s">
        <v>24</v>
      </c>
      <c r="B78" s="89"/>
      <c r="C78" s="89"/>
      <c r="D78" s="89"/>
      <c r="E78" s="89"/>
      <c r="F78" s="89"/>
      <c r="G78" s="90"/>
    </row>
    <row r="79" spans="1:7" x14ac:dyDescent="0.2">
      <c r="A79" s="91"/>
      <c r="B79" s="139" t="s">
        <v>66</v>
      </c>
      <c r="C79" s="139" t="s">
        <v>68</v>
      </c>
      <c r="D79" s="139" t="s">
        <v>70</v>
      </c>
      <c r="E79" s="139" t="s">
        <v>76</v>
      </c>
      <c r="F79" s="139" t="s">
        <v>77</v>
      </c>
      <c r="G79" s="140" t="s">
        <v>1</v>
      </c>
    </row>
    <row r="80" spans="1:7" ht="13.5" thickBot="1" x14ac:dyDescent="0.25">
      <c r="A80" s="98" t="s">
        <v>8</v>
      </c>
      <c r="B80" s="99">
        <f>(B16+B25)/B73</f>
        <v>28.655172413793107</v>
      </c>
      <c r="C80" s="96">
        <f>(C16+C25)/C73</f>
        <v>29.088235294117649</v>
      </c>
      <c r="D80" s="96">
        <f>(D16+D25)/D73</f>
        <v>28.333333333333329</v>
      </c>
      <c r="E80" s="96">
        <f>(E16+E25)/E73</f>
        <v>32.65517241379311</v>
      </c>
      <c r="F80" s="96">
        <f>(F16+F25)/F73</f>
        <v>31.742857142857147</v>
      </c>
      <c r="G80" s="97">
        <f>AVERAGE(B80:F80)</f>
        <v>30.094954119578869</v>
      </c>
    </row>
    <row r="81" spans="1:8" x14ac:dyDescent="0.2">
      <c r="B81" s="7"/>
      <c r="C81" s="7"/>
      <c r="D81" s="7"/>
      <c r="E81" s="7"/>
      <c r="G81" s="7"/>
      <c r="H81" s="5"/>
    </row>
    <row r="82" spans="1:8" ht="13.5" thickBot="1" x14ac:dyDescent="0.25"/>
    <row r="83" spans="1:8" x14ac:dyDescent="0.2">
      <c r="A83" s="88" t="s">
        <v>75</v>
      </c>
      <c r="B83" s="89"/>
      <c r="C83" s="89"/>
      <c r="D83" s="89"/>
      <c r="E83" s="89"/>
      <c r="F83" s="89"/>
      <c r="G83" s="90"/>
    </row>
    <row r="84" spans="1:8" x14ac:dyDescent="0.2">
      <c r="A84" s="91"/>
      <c r="B84" s="139" t="s">
        <v>66</v>
      </c>
      <c r="C84" s="139" t="s">
        <v>68</v>
      </c>
      <c r="D84" s="139" t="s">
        <v>70</v>
      </c>
      <c r="E84" s="139" t="s">
        <v>76</v>
      </c>
      <c r="F84" s="139" t="s">
        <v>77</v>
      </c>
      <c r="G84" s="140" t="s">
        <v>1</v>
      </c>
    </row>
    <row r="85" spans="1:8" ht="13.5" thickBot="1" x14ac:dyDescent="0.25">
      <c r="A85" s="98" t="s">
        <v>14</v>
      </c>
      <c r="B85" s="99">
        <f>B56/B73</f>
        <v>622.65517241379314</v>
      </c>
      <c r="C85" s="96">
        <f>C56/C73</f>
        <v>629.91176470588232</v>
      </c>
      <c r="D85" s="96">
        <f>D56/D73</f>
        <v>699.09090909090912</v>
      </c>
      <c r="E85" s="96">
        <f>E56/E73</f>
        <v>859.65517241379314</v>
      </c>
      <c r="F85" s="96">
        <f>F56/F73</f>
        <v>770.57142857142856</v>
      </c>
      <c r="G85" s="97">
        <f>AVERAGE(B85:F85)</f>
        <v>716.37688943916123</v>
      </c>
    </row>
    <row r="86" spans="1:8" x14ac:dyDescent="0.2">
      <c r="B86" s="7"/>
      <c r="C86" s="7"/>
      <c r="D86" s="7"/>
      <c r="E86" s="7"/>
      <c r="F86" s="7"/>
      <c r="G86" s="7"/>
      <c r="H86" s="5"/>
    </row>
    <row r="87" spans="1:8" ht="13.5" thickBot="1" x14ac:dyDescent="0.25"/>
    <row r="88" spans="1:8" x14ac:dyDescent="0.2">
      <c r="A88" s="88" t="s">
        <v>58</v>
      </c>
      <c r="B88" s="89"/>
      <c r="C88" s="89"/>
      <c r="D88" s="89"/>
      <c r="E88" s="89"/>
      <c r="F88" s="89"/>
      <c r="G88" s="90"/>
    </row>
    <row r="89" spans="1:8" x14ac:dyDescent="0.2">
      <c r="A89" s="91"/>
      <c r="B89" s="139" t="s">
        <v>66</v>
      </c>
      <c r="C89" s="139" t="s">
        <v>68</v>
      </c>
      <c r="D89" s="139" t="s">
        <v>70</v>
      </c>
      <c r="E89" s="139" t="s">
        <v>76</v>
      </c>
      <c r="F89" s="147" t="s">
        <v>81</v>
      </c>
      <c r="G89" s="140" t="s">
        <v>1</v>
      </c>
    </row>
    <row r="90" spans="1:8" ht="13.5" thickBot="1" x14ac:dyDescent="0.25">
      <c r="A90" s="98" t="s">
        <v>15</v>
      </c>
      <c r="B90" s="100">
        <v>752501</v>
      </c>
      <c r="C90" s="100">
        <v>845538</v>
      </c>
      <c r="D90" s="100">
        <f>940921.44+8050.24</f>
        <v>948971.67999999993</v>
      </c>
      <c r="E90" s="100">
        <f>1016418.59+21403.8</f>
        <v>1037822.39</v>
      </c>
      <c r="F90" s="104"/>
      <c r="G90" s="101">
        <f>AVERAGE(B90:E90)</f>
        <v>896208.26749999996</v>
      </c>
    </row>
    <row r="91" spans="1:8" x14ac:dyDescent="0.2">
      <c r="A91" s="148" t="s">
        <v>80</v>
      </c>
      <c r="B91" s="7"/>
      <c r="C91" s="7"/>
      <c r="D91" s="7"/>
      <c r="E91" s="7"/>
      <c r="F91" s="7"/>
      <c r="G91" s="7"/>
      <c r="H91" s="5"/>
    </row>
    <row r="92" spans="1:8" ht="13.5" thickBot="1" x14ac:dyDescent="0.25"/>
    <row r="93" spans="1:8" x14ac:dyDescent="0.2">
      <c r="A93" s="88" t="s">
        <v>54</v>
      </c>
      <c r="B93" s="89"/>
      <c r="C93" s="89"/>
      <c r="D93" s="89"/>
      <c r="E93" s="89"/>
      <c r="F93" s="89"/>
      <c r="G93" s="90"/>
    </row>
    <row r="94" spans="1:8" x14ac:dyDescent="0.2">
      <c r="A94" s="91"/>
      <c r="B94" s="139" t="s">
        <v>66</v>
      </c>
      <c r="C94" s="139" t="s">
        <v>68</v>
      </c>
      <c r="D94" s="139" t="s">
        <v>70</v>
      </c>
      <c r="E94" s="139" t="s">
        <v>76</v>
      </c>
      <c r="F94" s="147" t="s">
        <v>81</v>
      </c>
      <c r="G94" s="140" t="s">
        <v>1</v>
      </c>
    </row>
    <row r="95" spans="1:8" ht="13.5" thickBot="1" x14ac:dyDescent="0.25">
      <c r="A95" s="98" t="s">
        <v>16</v>
      </c>
      <c r="B95" s="102">
        <f>B90/B56</f>
        <v>125.02093370991859</v>
      </c>
      <c r="C95" s="102">
        <f>C90/C56</f>
        <v>118.43927720969323</v>
      </c>
      <c r="D95" s="102">
        <f>D90/D56</f>
        <v>123.40333940182053</v>
      </c>
      <c r="E95" s="102">
        <f>E90/E56</f>
        <v>124.88837424789411</v>
      </c>
      <c r="F95" s="102">
        <f>F90/F56</f>
        <v>0</v>
      </c>
      <c r="G95" s="101">
        <f>AVERAGE(B95:F95)</f>
        <v>98.350384913865284</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59</vt:i4>
      </vt:variant>
    </vt:vector>
  </HeadingPairs>
  <TitlesOfParts>
    <vt:vector size="89" baseType="lpstr">
      <vt:lpstr>READ ME FIRST</vt:lpstr>
      <vt:lpstr>ACBL</vt:lpstr>
      <vt:lpstr>CIS</vt:lpstr>
      <vt:lpstr>ECFI</vt:lpstr>
      <vt:lpstr>MGMK</vt:lpstr>
      <vt:lpstr>COUNED</vt:lpstr>
      <vt:lpstr>EED</vt:lpstr>
      <vt:lpstr>HES</vt:lpstr>
      <vt:lpstr>HPER</vt:lpstr>
      <vt:lpstr>SECED</vt:lpstr>
      <vt:lpstr>AR</vt:lpstr>
      <vt:lpstr>BI</vt:lpstr>
      <vt:lpstr>CH</vt:lpstr>
      <vt:lpstr>CJ</vt:lpstr>
      <vt:lpstr>COM</vt:lpstr>
      <vt:lpstr>EIC</vt:lpstr>
      <vt:lpstr>EN</vt:lpstr>
      <vt:lpstr>FL</vt:lpstr>
      <vt:lpstr>GE</vt:lpstr>
      <vt:lpstr>HI</vt:lpstr>
      <vt:lpstr>MA</vt:lpstr>
      <vt:lpstr>MU</vt:lpstr>
      <vt:lpstr>PH</vt:lpstr>
      <vt:lpstr>Psych</vt:lpstr>
      <vt:lpstr>SO</vt:lpstr>
      <vt:lpstr>SW</vt:lpstr>
      <vt:lpstr>IDS</vt:lpstr>
      <vt:lpstr>NU</vt:lpstr>
      <vt:lpstr>NEC</vt:lpstr>
      <vt:lpstr>Overall Summary</vt:lpstr>
      <vt:lpstr>ACBL!Print_Area</vt:lpstr>
      <vt:lpstr>AR!Print_Area</vt:lpstr>
      <vt:lpstr>BI!Print_Area</vt:lpstr>
      <vt:lpstr>CH!Print_Area</vt:lpstr>
      <vt:lpstr>CIS!Print_Area</vt:lpstr>
      <vt:lpstr>CJ!Print_Area</vt:lpstr>
      <vt:lpstr>COM!Print_Area</vt:lpstr>
      <vt:lpstr>COUNED!Print_Area</vt:lpstr>
      <vt:lpstr>ECFI!Print_Area</vt:lpstr>
      <vt:lpstr>EED!Print_Area</vt:lpstr>
      <vt:lpstr>EIC!Print_Area</vt:lpstr>
      <vt:lpstr>EN!Print_Area</vt:lpstr>
      <vt:lpstr>FL!Print_Area</vt:lpstr>
      <vt:lpstr>GE!Print_Area</vt:lpstr>
      <vt:lpstr>HES!Print_Area</vt:lpstr>
      <vt:lpstr>HI!Print_Area</vt:lpstr>
      <vt:lpstr>HPER!Print_Area</vt:lpstr>
      <vt:lpstr>IDS!Print_Area</vt:lpstr>
      <vt:lpstr>MA!Print_Area</vt:lpstr>
      <vt:lpstr>MGMK!Print_Area</vt:lpstr>
      <vt:lpstr>MU!Print_Area</vt:lpstr>
      <vt:lpstr>NEC!Print_Area</vt:lpstr>
      <vt:lpstr>NU!Print_Area</vt:lpstr>
      <vt:lpstr>'Overall Summary'!Print_Area</vt:lpstr>
      <vt:lpstr>PH!Print_Area</vt:lpstr>
      <vt:lpstr>Psych!Print_Area</vt:lpstr>
      <vt:lpstr>'READ ME FIRST'!Print_Area</vt:lpstr>
      <vt:lpstr>SECED!Print_Area</vt:lpstr>
      <vt:lpstr>SO!Print_Area</vt:lpstr>
      <vt:lpstr>SW!Print_Area</vt:lpstr>
      <vt:lpstr>ACBL!Print_Titles</vt:lpstr>
      <vt:lpstr>AR!Print_Titles</vt:lpstr>
      <vt:lpstr>BI!Print_Titles</vt:lpstr>
      <vt:lpstr>CH!Print_Titles</vt:lpstr>
      <vt:lpstr>CIS!Print_Titles</vt:lpstr>
      <vt:lpstr>CJ!Print_Titles</vt:lpstr>
      <vt:lpstr>COM!Print_Titles</vt:lpstr>
      <vt:lpstr>COUNED!Print_Titles</vt:lpstr>
      <vt:lpstr>ECFI!Print_Titles</vt:lpstr>
      <vt:lpstr>EED!Print_Titles</vt:lpstr>
      <vt:lpstr>EIC!Print_Titles</vt:lpstr>
      <vt:lpstr>EN!Print_Titles</vt:lpstr>
      <vt:lpstr>FL!Print_Titles</vt:lpstr>
      <vt:lpstr>GE!Print_Titles</vt:lpstr>
      <vt:lpstr>HES!Print_Titles</vt:lpstr>
      <vt:lpstr>HI!Print_Titles</vt:lpstr>
      <vt:lpstr>HPER!Print_Titles</vt:lpstr>
      <vt:lpstr>IDS!Print_Titles</vt:lpstr>
      <vt:lpstr>MA!Print_Titles</vt:lpstr>
      <vt:lpstr>MGMK!Print_Titles</vt:lpstr>
      <vt:lpstr>MU!Print_Titles</vt:lpstr>
      <vt:lpstr>NEC!Print_Titles</vt:lpstr>
      <vt:lpstr>NU!Print_Titles</vt:lpstr>
      <vt:lpstr>'Overall Summary'!Print_Titles</vt:lpstr>
      <vt:lpstr>PH!Print_Titles</vt:lpstr>
      <vt:lpstr>Psych!Print_Titles</vt:lpstr>
      <vt:lpstr>SECED!Print_Titles</vt:lpstr>
      <vt:lpstr>SO!Print_Titles</vt:lpstr>
      <vt:lpstr>SW!Print_Titles</vt:lpstr>
    </vt:vector>
  </TitlesOfParts>
  <Company>University of West Georgia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IRP</dc:creator>
  <cp:lastModifiedBy>CTS</cp:lastModifiedBy>
  <cp:lastPrinted>2014-09-25T17:02:37Z</cp:lastPrinted>
  <dcterms:created xsi:type="dcterms:W3CDTF">2006-10-04T20:02:19Z</dcterms:created>
  <dcterms:modified xsi:type="dcterms:W3CDTF">2014-09-25T18:08:39Z</dcterms:modified>
</cp:coreProperties>
</file>